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.root.sonoma.gov\data\DHS\HS\CD ACTIVITIES\FY 2024-2025 Process\NOFA Final Documents for Publication\"/>
    </mc:Choice>
  </mc:AlternateContent>
  <xr:revisionPtr revIDLastSave="0" documentId="13_ncr:1_{252B6FDC-CECE-4D90-85C4-DC951190D9F5}" xr6:coauthVersionLast="47" xr6:coauthVersionMax="47" xr10:uidLastSave="{00000000-0000-0000-0000-000000000000}"/>
  <bookViews>
    <workbookView xWindow="-110" yWindow="-110" windowWidth="19420" windowHeight="10420" activeTab="2" xr2:uid="{75BB6C8F-5499-4A35-903E-3F8E34092151}"/>
  </bookViews>
  <sheets>
    <sheet name="Shelter1" sheetId="2" r:id="rId1"/>
    <sheet name="Shelter" sheetId="1" r:id="rId2"/>
    <sheet name="street outreach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3" l="1"/>
  <c r="I9" i="3"/>
  <c r="H9" i="3"/>
  <c r="G9" i="3"/>
  <c r="F9" i="3"/>
  <c r="C9" i="3"/>
  <c r="B9" i="3"/>
  <c r="E9" i="3" s="1"/>
  <c r="K8" i="3"/>
  <c r="J8" i="3"/>
  <c r="E8" i="3"/>
  <c r="D8" i="3"/>
  <c r="K7" i="3"/>
  <c r="J7" i="3"/>
  <c r="E7" i="3"/>
  <c r="D7" i="3"/>
  <c r="J6" i="3"/>
  <c r="E6" i="3"/>
  <c r="D6" i="3"/>
  <c r="J5" i="3"/>
  <c r="E5" i="3"/>
  <c r="D5" i="3"/>
  <c r="J4" i="3"/>
  <c r="K4" i="3" s="1"/>
  <c r="E4" i="3"/>
  <c r="D4" i="3"/>
  <c r="E3" i="3"/>
  <c r="D3" i="3"/>
  <c r="K2" i="3"/>
  <c r="J2" i="3"/>
  <c r="E2" i="3"/>
  <c r="D2" i="3"/>
  <c r="D9" i="3" s="1"/>
  <c r="J9" i="3" l="1"/>
  <c r="J11" i="3" s="1"/>
  <c r="K6" i="3"/>
  <c r="K3" i="3"/>
  <c r="K9" i="3" s="1"/>
  <c r="L12" i="3" s="1"/>
  <c r="K5" i="3"/>
  <c r="C9" i="2" l="1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  <c r="C1" i="2"/>
  <c r="B1" i="2"/>
  <c r="B64" i="1"/>
  <c r="C64" i="1" s="1"/>
  <c r="B63" i="1"/>
  <c r="C63" i="1" s="1"/>
  <c r="B61" i="1"/>
  <c r="B60" i="1"/>
  <c r="B62" i="1" s="1"/>
  <c r="C61" i="1" s="1"/>
  <c r="G55" i="1"/>
  <c r="I51" i="1"/>
  <c r="G51" i="1"/>
  <c r="J51" i="1" s="1"/>
  <c r="D51" i="1"/>
  <c r="G48" i="1"/>
  <c r="D48" i="1"/>
  <c r="J48" i="1" s="1"/>
  <c r="I45" i="1"/>
  <c r="G45" i="1"/>
  <c r="J45" i="1" s="1"/>
  <c r="D45" i="1"/>
  <c r="G41" i="1"/>
  <c r="G57" i="1" s="1"/>
  <c r="G34" i="1"/>
  <c r="C34" i="1"/>
  <c r="D34" i="1" s="1"/>
  <c r="I34" i="1" s="1"/>
  <c r="B34" i="1"/>
  <c r="I30" i="1"/>
  <c r="G30" i="1"/>
  <c r="D30" i="1"/>
  <c r="J30" i="1" s="1"/>
  <c r="B30" i="1"/>
  <c r="G23" i="1"/>
  <c r="C23" i="1"/>
  <c r="B23" i="1"/>
  <c r="D23" i="1" s="1"/>
  <c r="G18" i="1"/>
  <c r="J18" i="1" s="1"/>
  <c r="D18" i="1"/>
  <c r="I18" i="1" s="1"/>
  <c r="C18" i="1"/>
  <c r="B18" i="1"/>
  <c r="G14" i="1"/>
  <c r="C14" i="1"/>
  <c r="B14" i="1"/>
  <c r="D14" i="1" s="1"/>
  <c r="G7" i="1"/>
  <c r="J7" i="1" s="1"/>
  <c r="D7" i="1"/>
  <c r="I7" i="1" s="1"/>
  <c r="B7" i="1"/>
  <c r="J34" i="1" l="1"/>
  <c r="J14" i="1"/>
  <c r="I14" i="1"/>
  <c r="I23" i="1"/>
  <c r="J23" i="1"/>
  <c r="C60" i="1"/>
  <c r="G56" i="1"/>
  <c r="I48" i="1"/>
  <c r="G58" i="1"/>
  <c r="G59" i="1" s="1"/>
</calcChain>
</file>

<file path=xl/sharedStrings.xml><?xml version="1.0" encoding="utf-8"?>
<sst xmlns="http://schemas.openxmlformats.org/spreadsheetml/2006/main" count="167" uniqueCount="122">
  <si>
    <t>Jurisdiction</t>
  </si>
  <si>
    <t>Unshelterd count</t>
  </si>
  <si>
    <t>Sheltered count</t>
  </si>
  <si>
    <t>Total Homeless pop</t>
  </si>
  <si>
    <t xml:space="preserve">Agency </t>
  </si>
  <si>
    <t xml:space="preserve">Shelter </t>
  </si>
  <si>
    <t>ES/IH bed count</t>
  </si>
  <si>
    <t xml:space="preserve">Eligibility </t>
  </si>
  <si>
    <t>Gap between unsheltered &amp; beds</t>
  </si>
  <si>
    <t>% of homeless population that can be sheltered</t>
  </si>
  <si>
    <t>North County</t>
  </si>
  <si>
    <t>Cloverdale</t>
  </si>
  <si>
    <t>N/A</t>
  </si>
  <si>
    <t>Healdsburg</t>
  </si>
  <si>
    <t>RFH</t>
  </si>
  <si>
    <t>L&amp;M Village</t>
  </si>
  <si>
    <t xml:space="preserve">North county resident </t>
  </si>
  <si>
    <t>Windsor</t>
  </si>
  <si>
    <t>Unincorporated</t>
  </si>
  <si>
    <t>Total</t>
  </si>
  <si>
    <t>South County</t>
  </si>
  <si>
    <t>Petaluma</t>
  </si>
  <si>
    <t>COTS</t>
  </si>
  <si>
    <t>Kids First Family Shelter</t>
  </si>
  <si>
    <t xml:space="preserve">South County only/Families with minors. </t>
  </si>
  <si>
    <t>Recuperative Care</t>
  </si>
  <si>
    <t>South County only</t>
  </si>
  <si>
    <t>MIC</t>
  </si>
  <si>
    <t>People's Village</t>
  </si>
  <si>
    <t>West County</t>
  </si>
  <si>
    <t>Sebastopol</t>
  </si>
  <si>
    <t>SAVS</t>
  </si>
  <si>
    <t>Horizon Shine</t>
  </si>
  <si>
    <t>Sebastopol residents only</t>
  </si>
  <si>
    <t>WCCS</t>
  </si>
  <si>
    <t>COVID-19 CNS</t>
  </si>
  <si>
    <t xml:space="preserve">West County </t>
  </si>
  <si>
    <t>Sonoma Valley</t>
  </si>
  <si>
    <t>Sonoma</t>
  </si>
  <si>
    <t>HAS</t>
  </si>
  <si>
    <t>SVDP/IMDT</t>
  </si>
  <si>
    <t>Los Guilicos</t>
  </si>
  <si>
    <t xml:space="preserve">Sonoma Valley residents </t>
  </si>
  <si>
    <t>Santa Rosa</t>
  </si>
  <si>
    <t>CC</t>
  </si>
  <si>
    <t>SJH</t>
  </si>
  <si>
    <t>Referred through HOST. SR specific</t>
  </si>
  <si>
    <t>SJH Nightengale</t>
  </si>
  <si>
    <t>Medical respite beds</t>
  </si>
  <si>
    <t xml:space="preserve">CC </t>
  </si>
  <si>
    <t>FSC</t>
  </si>
  <si>
    <t>Families in SR</t>
  </si>
  <si>
    <t>Caritas Nightengale</t>
  </si>
  <si>
    <t>RP/ Cotati</t>
  </si>
  <si>
    <t>Cotati</t>
  </si>
  <si>
    <t>Rohnert Park</t>
  </si>
  <si>
    <t>HF</t>
  </si>
  <si>
    <t>Labath Landing</t>
  </si>
  <si>
    <t>County-Wide beds</t>
  </si>
  <si>
    <t>RGM</t>
  </si>
  <si>
    <t>Men's Mission</t>
  </si>
  <si>
    <t>The Rose</t>
  </si>
  <si>
    <t xml:space="preserve">Women with and without children </t>
  </si>
  <si>
    <t>CAPS</t>
  </si>
  <si>
    <t>Opportunity House</t>
  </si>
  <si>
    <t>Population Specific shelters</t>
  </si>
  <si>
    <t>Families</t>
  </si>
  <si>
    <t>Sloan House</t>
  </si>
  <si>
    <t xml:space="preserve">Women with children </t>
  </si>
  <si>
    <t>Familiys with minors</t>
  </si>
  <si>
    <t xml:space="preserve">Total </t>
  </si>
  <si>
    <t>Veterans</t>
  </si>
  <si>
    <t>Nation's Finest</t>
  </si>
  <si>
    <t>SSVF (ES)</t>
  </si>
  <si>
    <t>Veterans only</t>
  </si>
  <si>
    <t>Hearn House</t>
  </si>
  <si>
    <t>SAY</t>
  </si>
  <si>
    <t>Coffee House</t>
  </si>
  <si>
    <t>TAY</t>
  </si>
  <si>
    <t>Dream Center</t>
  </si>
  <si>
    <t xml:space="preserve">IMDT clients only. </t>
  </si>
  <si>
    <t>IMDT</t>
  </si>
  <si>
    <t>ESS</t>
  </si>
  <si>
    <t>IMDT clients only.</t>
  </si>
  <si>
    <t>YWCA</t>
  </si>
  <si>
    <t>Safe House</t>
  </si>
  <si>
    <t>Victims of DV</t>
  </si>
  <si>
    <t>Total Shelter Beds</t>
  </si>
  <si>
    <t>% of beds not restricted to a subregion/population</t>
  </si>
  <si>
    <t># of beds not restricted to a subregion/subpopulation</t>
  </si>
  <si>
    <t># of beds restricted to a subregion/subpopulation</t>
  </si>
  <si>
    <t>% of beds restricted to a subregion/subpopulation</t>
  </si>
  <si>
    <t>SJH general county-wide access</t>
  </si>
  <si>
    <t>HOST/Nightingale access</t>
  </si>
  <si>
    <t>MIC general county-wide access</t>
  </si>
  <si>
    <t>MIC Jurisdictional access</t>
  </si>
  <si>
    <t xml:space="preserve">Unsheltered 2023 </t>
  </si>
  <si>
    <t>Sheltered 2023</t>
  </si>
  <si>
    <t>Total 2023</t>
  </si>
  <si>
    <t>50% of unsheltered</t>
  </si>
  <si>
    <t>Regional Management</t>
  </si>
  <si>
    <t>Current outreach staff</t>
  </si>
  <si>
    <t>Outreach needed to meet 20:1 ratio *rounded</t>
  </si>
  <si>
    <t>Positions needed</t>
  </si>
  <si>
    <t>Outreach cost</t>
  </si>
  <si>
    <t>Regional Subtotal</t>
  </si>
  <si>
    <t>Current outreach cost: SO dedicated funding</t>
  </si>
  <si>
    <t xml:space="preserve">Sonoma Valley </t>
  </si>
  <si>
    <t>Totals</t>
  </si>
  <si>
    <t>*</t>
  </si>
  <si>
    <t xml:space="preserve">Sonoma valley and south county split BNL management. This includes overhead and management </t>
  </si>
  <si>
    <t>**</t>
  </si>
  <si>
    <t>South county outreach costs include management, housing funding and overhead divided across FTEs</t>
  </si>
  <si>
    <t>Funding gap</t>
  </si>
  <si>
    <t>***</t>
  </si>
  <si>
    <t xml:space="preserve">North County does not currently need funding for BNL manager </t>
  </si>
  <si>
    <t>****</t>
  </si>
  <si>
    <t xml:space="preserve">Rohnert Park is currently covering the cost of BNL management. The cost of BNL mamagement would be 138,000 </t>
  </si>
  <si>
    <t>*****</t>
  </si>
  <si>
    <t xml:space="preserve">Santa Rosa is currently covering the cost of BNL management </t>
  </si>
  <si>
    <t>******</t>
  </si>
  <si>
    <t xml:space="preserve">TAY includes 2 SO worker and 1 coordinator at different pay rates. They are averaged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</si>
</sst>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1" fillId="4" borderId="1" xfId="1" applyFill="1"/>
    <xf numFmtId="0" fontId="1" fillId="0" borderId="1" xfId="1"/>
    <xf numFmtId="0" fontId="1" fillId="0" borderId="1" xfId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4" borderId="0" xfId="0" applyFont="1" applyFill="1" applyAlignment="1">
      <alignment horizontal="center" wrapText="1"/>
    </xf>
    <xf numFmtId="10" fontId="1" fillId="0" borderId="0" xfId="0" applyNumberFormat="1" applyFont="1"/>
    <xf numFmtId="0" fontId="1" fillId="4" borderId="0" xfId="0" applyFont="1" applyFill="1" applyAlignment="1">
      <alignment wrapText="1"/>
    </xf>
    <xf numFmtId="0" fontId="0" fillId="5" borderId="2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3" xfId="0" applyFill="1" applyBorder="1"/>
    <xf numFmtId="44" fontId="0" fillId="0" borderId="0" xfId="0" applyNumberFormat="1"/>
    <xf numFmtId="1" fontId="0" fillId="0" borderId="0" xfId="0" applyNumberFormat="1"/>
    <xf numFmtId="0" fontId="1" fillId="5" borderId="1" xfId="1" applyFill="1"/>
    <xf numFmtId="44" fontId="1" fillId="0" borderId="1" xfId="1" applyNumberFormat="1"/>
    <xf numFmtId="1" fontId="1" fillId="0" borderId="1" xfId="1" applyNumberFormat="1"/>
    <xf numFmtId="164" fontId="1" fillId="0" borderId="1" xfId="1" applyNumberFormat="1"/>
    <xf numFmtId="0" fontId="0" fillId="5" borderId="0" xfId="0" applyFill="1"/>
    <xf numFmtId="44" fontId="0" fillId="0" borderId="0" xfId="0" applyNumberFormat="1" applyAlignment="1">
      <alignment wrapText="1"/>
    </xf>
    <xf numFmtId="2" fontId="0" fillId="0" borderId="0" xfId="0" applyNumberFormat="1"/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% of homeless population that can be sheltered by subregion/subpopulation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[1]Sheet2!$B$1:$B$9</c:f>
              <c:strCache>
                <c:ptCount val="9"/>
                <c:pt idx="0">
                  <c:v>South County</c:v>
                </c:pt>
                <c:pt idx="1">
                  <c:v>North County</c:v>
                </c:pt>
                <c:pt idx="2">
                  <c:v>West County</c:v>
                </c:pt>
                <c:pt idx="3">
                  <c:v>Sonoma Valley</c:v>
                </c:pt>
                <c:pt idx="4">
                  <c:v>Santa Rosa</c:v>
                </c:pt>
                <c:pt idx="5">
                  <c:v>RP/ Cotati</c:v>
                </c:pt>
                <c:pt idx="6">
                  <c:v>Families</c:v>
                </c:pt>
                <c:pt idx="7">
                  <c:v>Veterans</c:v>
                </c:pt>
                <c:pt idx="8">
                  <c:v>TAY</c:v>
                </c:pt>
              </c:strCache>
            </c:strRef>
          </c:cat>
          <c:val>
            <c:numRef>
              <c:f>[1]Sheet2!$C$1:$C$9</c:f>
              <c:numCache>
                <c:formatCode>General</c:formatCode>
                <c:ptCount val="9"/>
                <c:pt idx="0">
                  <c:v>0.43272727272727274</c:v>
                </c:pt>
                <c:pt idx="1">
                  <c:v>0.1864406779661017</c:v>
                </c:pt>
                <c:pt idx="2">
                  <c:v>0.16431924882629109</c:v>
                </c:pt>
                <c:pt idx="3">
                  <c:v>0.21705426356589147</c:v>
                </c:pt>
                <c:pt idx="4">
                  <c:v>0.49064748201438851</c:v>
                </c:pt>
                <c:pt idx="5">
                  <c:v>0.26666666666666666</c:v>
                </c:pt>
                <c:pt idx="6">
                  <c:v>0.79802955665024633</c:v>
                </c:pt>
                <c:pt idx="7">
                  <c:v>0.27272727272727271</c:v>
                </c:pt>
                <c:pt idx="8">
                  <c:v>5.8620689655172413E-2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0-4013-A1A6-E3D22EEB69E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57063999"/>
        <c:axId val="457958831"/>
      </c:barChart>
      <c:catAx>
        <c:axId val="4570639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958831"/>
        <c:crosses val="autoZero"/>
        <c:auto val="1"/>
        <c:lblAlgn val="ctr"/>
        <c:lblOffset val="100"/>
        <c:noMultiLvlLbl val="0"/>
      </c:catAx>
      <c:valAx>
        <c:axId val="457958831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063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66674</xdr:colOff>
      <xdr:row>27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386E0A-8267-4113-9080-F08E3470B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/HOMELESSNESS/Emergency%20Shelter/ES%20invintory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1">
          <cell r="B1" t="str">
            <v>South County</v>
          </cell>
          <cell r="C1">
            <v>0.43272727272727274</v>
          </cell>
        </row>
        <row r="2">
          <cell r="B2" t="str">
            <v>North County</v>
          </cell>
          <cell r="C2">
            <v>0.1864406779661017</v>
          </cell>
        </row>
        <row r="3">
          <cell r="B3" t="str">
            <v>West County</v>
          </cell>
          <cell r="C3">
            <v>0.16431924882629109</v>
          </cell>
        </row>
        <row r="4">
          <cell r="B4" t="str">
            <v>Sonoma Valley</v>
          </cell>
          <cell r="C4">
            <v>0.21705426356589147</v>
          </cell>
        </row>
        <row r="5">
          <cell r="B5" t="str">
            <v>Santa Rosa</v>
          </cell>
          <cell r="C5">
            <v>0.49064748201438851</v>
          </cell>
        </row>
        <row r="6">
          <cell r="B6" t="str">
            <v>RP/ Cotati</v>
          </cell>
          <cell r="C6">
            <v>0.26666666666666666</v>
          </cell>
        </row>
        <row r="7">
          <cell r="B7" t="str">
            <v>Families</v>
          </cell>
          <cell r="C7">
            <v>0.79802955665024633</v>
          </cell>
        </row>
        <row r="8">
          <cell r="B8" t="str">
            <v>Veterans</v>
          </cell>
          <cell r="C8">
            <v>0.27272727272727271</v>
          </cell>
        </row>
        <row r="9">
          <cell r="B9" t="str">
            <v>TAY</v>
          </cell>
          <cell r="C9">
            <v>5.8620689655172413E-2</v>
          </cell>
        </row>
      </sheetData>
      <sheetData sheetId="1">
        <row r="2">
          <cell r="A2" t="str">
            <v>North County</v>
          </cell>
        </row>
        <row r="7">
          <cell r="J7">
            <v>0.1864406779661017</v>
          </cell>
        </row>
        <row r="8">
          <cell r="A8" t="str">
            <v>South County</v>
          </cell>
        </row>
        <row r="14">
          <cell r="J14">
            <v>0.43272727272727274</v>
          </cell>
        </row>
        <row r="15">
          <cell r="A15" t="str">
            <v>West County</v>
          </cell>
        </row>
        <row r="18">
          <cell r="J18">
            <v>0.16431924882629109</v>
          </cell>
        </row>
        <row r="19">
          <cell r="A19" t="str">
            <v>Sonoma Valley</v>
          </cell>
        </row>
        <row r="23">
          <cell r="J23">
            <v>0.21705426356589147</v>
          </cell>
        </row>
        <row r="24">
          <cell r="A24" t="str">
            <v>Santa Rosa</v>
          </cell>
        </row>
        <row r="30">
          <cell r="J30">
            <v>0.49064748201438851</v>
          </cell>
        </row>
        <row r="31">
          <cell r="A31" t="str">
            <v>RP/ Cotati</v>
          </cell>
        </row>
        <row r="34">
          <cell r="J34">
            <v>0.26666666666666666</v>
          </cell>
        </row>
        <row r="43">
          <cell r="A43" t="str">
            <v>Families</v>
          </cell>
        </row>
        <row r="45">
          <cell r="J45">
            <v>0.79802955665024633</v>
          </cell>
        </row>
        <row r="46">
          <cell r="A46" t="str">
            <v>Veterans</v>
          </cell>
        </row>
        <row r="48">
          <cell r="J48">
            <v>0.27272727272727271</v>
          </cell>
        </row>
        <row r="50">
          <cell r="A50" t="str">
            <v>TAY</v>
          </cell>
        </row>
        <row r="51">
          <cell r="J51">
            <v>5.8620689655172413E-2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EB64A-F01D-4F0F-A0AA-059FF3B60A78}">
  <dimension ref="A1:C49"/>
  <sheetViews>
    <sheetView workbookViewId="0">
      <selection activeCell="B33" sqref="B33"/>
    </sheetView>
  </sheetViews>
  <sheetFormatPr defaultRowHeight="14.5" x14ac:dyDescent="0.35"/>
  <cols>
    <col min="2" max="2" width="17.7265625" bestFit="1" customWidth="1"/>
    <col min="3" max="3" width="16.81640625" customWidth="1"/>
  </cols>
  <sheetData>
    <row r="1" spans="2:3" x14ac:dyDescent="0.35">
      <c r="B1" t="str">
        <f>[1]Sheet1!A8</f>
        <v>South County</v>
      </c>
      <c r="C1" s="10">
        <f>[1]Sheet1!J14</f>
        <v>0.43272727272727274</v>
      </c>
    </row>
    <row r="2" spans="2:3" x14ac:dyDescent="0.35">
      <c r="B2" t="str">
        <f>[1]Sheet1!A2</f>
        <v>North County</v>
      </c>
      <c r="C2" s="10">
        <f>[1]Sheet1!J7</f>
        <v>0.1864406779661017</v>
      </c>
    </row>
    <row r="3" spans="2:3" x14ac:dyDescent="0.35">
      <c r="B3" t="str">
        <f>[1]Sheet1!A15</f>
        <v>West County</v>
      </c>
      <c r="C3" s="10">
        <f>[1]Sheet1!J18</f>
        <v>0.16431924882629109</v>
      </c>
    </row>
    <row r="4" spans="2:3" x14ac:dyDescent="0.35">
      <c r="B4" t="str">
        <f>[1]Sheet1!A19</f>
        <v>Sonoma Valley</v>
      </c>
      <c r="C4" s="10">
        <f>[1]Sheet1!J23</f>
        <v>0.21705426356589147</v>
      </c>
    </row>
    <row r="5" spans="2:3" x14ac:dyDescent="0.35">
      <c r="B5" t="str">
        <f>[1]Sheet1!A24</f>
        <v>Santa Rosa</v>
      </c>
      <c r="C5" s="10">
        <f>[1]Sheet1!J30</f>
        <v>0.49064748201438851</v>
      </c>
    </row>
    <row r="6" spans="2:3" x14ac:dyDescent="0.35">
      <c r="B6" t="str">
        <f>[1]Sheet1!A31</f>
        <v>RP/ Cotati</v>
      </c>
      <c r="C6" s="10">
        <f>[1]Sheet1!J34</f>
        <v>0.26666666666666666</v>
      </c>
    </row>
    <row r="7" spans="2:3" x14ac:dyDescent="0.35">
      <c r="B7" t="str">
        <f>[1]Sheet1!A43</f>
        <v>Families</v>
      </c>
      <c r="C7" s="10">
        <f>[1]Sheet1!J45</f>
        <v>0.79802955665024633</v>
      </c>
    </row>
    <row r="8" spans="2:3" x14ac:dyDescent="0.35">
      <c r="B8" t="str">
        <f>[1]Sheet1!A46</f>
        <v>Veterans</v>
      </c>
      <c r="C8" s="10">
        <f>[1]Sheet1!J48</f>
        <v>0.27272727272727271</v>
      </c>
    </row>
    <row r="9" spans="2:3" x14ac:dyDescent="0.35">
      <c r="B9" t="str">
        <f>[1]Sheet1!A50</f>
        <v>TAY</v>
      </c>
      <c r="C9" s="10">
        <f>[1]Sheet1!J51</f>
        <v>5.8620689655172413E-2</v>
      </c>
    </row>
    <row r="29" spans="2:2" x14ac:dyDescent="0.35">
      <c r="B29" s="10"/>
    </row>
    <row r="30" spans="2:2" x14ac:dyDescent="0.35">
      <c r="B30" s="10"/>
    </row>
    <row r="45" spans="1:2" x14ac:dyDescent="0.35">
      <c r="A45" s="15"/>
      <c r="B45" s="10"/>
    </row>
    <row r="46" spans="1:2" x14ac:dyDescent="0.35">
      <c r="A46" s="15"/>
      <c r="B46" s="10"/>
    </row>
    <row r="47" spans="1:2" x14ac:dyDescent="0.35">
      <c r="B47" s="10"/>
    </row>
    <row r="48" spans="1:2" x14ac:dyDescent="0.35">
      <c r="A48" s="15"/>
      <c r="B48" s="10"/>
    </row>
    <row r="49" spans="1:2" x14ac:dyDescent="0.35">
      <c r="A49" s="15"/>
      <c r="B49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20EDA-DA7F-4242-B963-FB4E5B846273}">
  <dimension ref="A1:M64"/>
  <sheetViews>
    <sheetView workbookViewId="0">
      <selection sqref="A1:XFD1048576"/>
    </sheetView>
  </sheetViews>
  <sheetFormatPr defaultRowHeight="14.5" x14ac:dyDescent="0.35"/>
  <cols>
    <col min="1" max="1" width="26.1796875" bestFit="1" customWidth="1"/>
    <col min="2" max="2" width="15.81640625" customWidth="1"/>
    <col min="3" max="5" width="14.7265625" customWidth="1"/>
    <col min="6" max="6" width="22.54296875" bestFit="1" customWidth="1"/>
    <col min="7" max="7" width="14" customWidth="1"/>
    <col min="8" max="8" width="30.26953125" customWidth="1"/>
    <col min="9" max="9" width="22.1796875" customWidth="1"/>
    <col min="10" max="10" width="19.453125" customWidth="1"/>
  </cols>
  <sheetData>
    <row r="1" spans="1:10" ht="85.5" customHeight="1" x14ac:dyDescent="0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35">
      <c r="A2" s="3" t="s">
        <v>10</v>
      </c>
      <c r="B2" s="3"/>
      <c r="C2" s="3"/>
      <c r="D2" s="3"/>
      <c r="E2" s="3"/>
      <c r="F2" s="4"/>
      <c r="G2" s="4"/>
      <c r="H2" s="3"/>
      <c r="I2" s="3"/>
    </row>
    <row r="3" spans="1:10" x14ac:dyDescent="0.35">
      <c r="A3" s="5" t="s">
        <v>11</v>
      </c>
      <c r="B3" s="6">
        <v>9</v>
      </c>
      <c r="C3" s="6"/>
      <c r="D3" s="6"/>
      <c r="F3" s="6" t="s">
        <v>12</v>
      </c>
      <c r="G3" s="6"/>
    </row>
    <row r="4" spans="1:10" x14ac:dyDescent="0.35">
      <c r="A4" s="5" t="s">
        <v>13</v>
      </c>
      <c r="B4" s="6">
        <v>18</v>
      </c>
      <c r="C4" s="6">
        <v>15</v>
      </c>
      <c r="D4" s="6"/>
      <c r="E4" s="6" t="s">
        <v>14</v>
      </c>
      <c r="F4" s="6" t="s">
        <v>15</v>
      </c>
      <c r="G4" s="6">
        <v>22</v>
      </c>
      <c r="H4" s="6" t="s">
        <v>16</v>
      </c>
    </row>
    <row r="5" spans="1:10" x14ac:dyDescent="0.35">
      <c r="A5" s="5" t="s">
        <v>17</v>
      </c>
      <c r="B5" s="6">
        <v>26</v>
      </c>
      <c r="C5" s="6"/>
      <c r="D5" s="6"/>
      <c r="E5" s="6"/>
      <c r="F5" s="6" t="s">
        <v>12</v>
      </c>
      <c r="G5" s="6"/>
    </row>
    <row r="6" spans="1:10" x14ac:dyDescent="0.35">
      <c r="A6" s="5" t="s">
        <v>18</v>
      </c>
      <c r="B6" s="6">
        <v>50</v>
      </c>
      <c r="C6" s="6"/>
      <c r="D6" s="6"/>
      <c r="E6" s="6"/>
      <c r="F6" s="6" t="s">
        <v>12</v>
      </c>
      <c r="G6" s="6"/>
    </row>
    <row r="7" spans="1:10" ht="15" thickBot="1" x14ac:dyDescent="0.4">
      <c r="A7" s="7" t="s">
        <v>19</v>
      </c>
      <c r="B7" s="8">
        <f>SUM(B3:B6)</f>
        <v>103</v>
      </c>
      <c r="C7" s="8">
        <v>15</v>
      </c>
      <c r="D7" s="8">
        <f>SUM(B7,C7)</f>
        <v>118</v>
      </c>
      <c r="E7" s="9"/>
      <c r="F7" s="9"/>
      <c r="G7" s="9">
        <f>SUM(G4:G6)</f>
        <v>22</v>
      </c>
      <c r="H7" s="8"/>
      <c r="I7" s="8">
        <f>SUM(D7-G7)</f>
        <v>96</v>
      </c>
      <c r="J7" s="10">
        <f>SUM(G7/D7)</f>
        <v>0.1864406779661017</v>
      </c>
    </row>
    <row r="8" spans="1:10" ht="15" thickTop="1" x14ac:dyDescent="0.35">
      <c r="A8" s="3" t="s">
        <v>20</v>
      </c>
      <c r="B8" s="3"/>
      <c r="C8" s="3"/>
      <c r="D8" s="3"/>
      <c r="E8" s="4"/>
      <c r="F8" s="4"/>
      <c r="G8" s="4"/>
      <c r="H8" s="3"/>
      <c r="I8" s="3"/>
    </row>
    <row r="9" spans="1:10" ht="29" x14ac:dyDescent="0.35">
      <c r="A9" s="5" t="s">
        <v>21</v>
      </c>
      <c r="B9" s="6">
        <v>157</v>
      </c>
      <c r="C9" s="6">
        <v>88</v>
      </c>
      <c r="D9" s="6"/>
      <c r="E9" s="6" t="s">
        <v>22</v>
      </c>
      <c r="F9" s="6" t="s">
        <v>23</v>
      </c>
      <c r="G9" s="6">
        <v>7</v>
      </c>
      <c r="H9" s="11" t="s">
        <v>24</v>
      </c>
    </row>
    <row r="10" spans="1:10" x14ac:dyDescent="0.35">
      <c r="A10" s="5"/>
      <c r="B10" s="6"/>
      <c r="C10" s="6"/>
      <c r="D10" s="6"/>
      <c r="E10" s="6" t="s">
        <v>22</v>
      </c>
      <c r="F10" s="6" t="s">
        <v>25</v>
      </c>
      <c r="G10" s="6">
        <v>7</v>
      </c>
      <c r="H10" s="6" t="s">
        <v>26</v>
      </c>
    </row>
    <row r="11" spans="1:10" x14ac:dyDescent="0.35">
      <c r="A11" s="5"/>
      <c r="B11" s="6"/>
      <c r="C11" s="6"/>
      <c r="D11" s="6"/>
      <c r="E11" s="6" t="s">
        <v>22</v>
      </c>
      <c r="F11" s="6" t="s">
        <v>27</v>
      </c>
      <c r="G11" s="6">
        <v>12</v>
      </c>
      <c r="H11" s="6" t="s">
        <v>26</v>
      </c>
    </row>
    <row r="12" spans="1:10" x14ac:dyDescent="0.35">
      <c r="A12" s="5"/>
      <c r="B12" s="6"/>
      <c r="C12" s="6"/>
      <c r="D12" s="6"/>
      <c r="E12" s="6" t="s">
        <v>22</v>
      </c>
      <c r="F12" s="6" t="s">
        <v>28</v>
      </c>
      <c r="G12" s="6">
        <v>25</v>
      </c>
      <c r="H12" s="6" t="s">
        <v>26</v>
      </c>
    </row>
    <row r="13" spans="1:10" x14ac:dyDescent="0.35">
      <c r="A13" s="5" t="s">
        <v>18</v>
      </c>
      <c r="B13" s="6">
        <v>30</v>
      </c>
      <c r="C13" s="6"/>
      <c r="D13" s="6"/>
      <c r="E13" s="6"/>
      <c r="F13" s="6"/>
      <c r="G13" s="6"/>
    </row>
    <row r="14" spans="1:10" ht="15" thickBot="1" x14ac:dyDescent="0.4">
      <c r="A14" s="7" t="s">
        <v>19</v>
      </c>
      <c r="B14" s="8">
        <f>SUM(B9,B13)</f>
        <v>187</v>
      </c>
      <c r="C14" s="8">
        <f>C9</f>
        <v>88</v>
      </c>
      <c r="D14" s="8">
        <f>SUM(B14:C14)</f>
        <v>275</v>
      </c>
      <c r="E14" s="9"/>
      <c r="F14" s="9"/>
      <c r="G14" s="9">
        <f>SUM(G9:G13)</f>
        <v>51</v>
      </c>
      <c r="H14" s="8"/>
      <c r="I14" s="8">
        <f>SUM(D14-G14)</f>
        <v>224</v>
      </c>
      <c r="J14" s="10">
        <f>SUM(G14,G40)/D14</f>
        <v>0.43272727272727274</v>
      </c>
    </row>
    <row r="15" spans="1:10" ht="15" thickTop="1" x14ac:dyDescent="0.35">
      <c r="A15" s="3" t="s">
        <v>29</v>
      </c>
      <c r="B15" s="3"/>
      <c r="C15" s="3"/>
      <c r="D15" s="3"/>
      <c r="E15" s="4"/>
      <c r="F15" s="4"/>
      <c r="G15" s="4"/>
      <c r="H15" s="3"/>
      <c r="I15" s="3"/>
    </row>
    <row r="16" spans="1:10" x14ac:dyDescent="0.35">
      <c r="A16" s="5" t="s">
        <v>30</v>
      </c>
      <c r="B16" s="6">
        <v>47</v>
      </c>
      <c r="C16" s="6">
        <v>40</v>
      </c>
      <c r="D16" s="6"/>
      <c r="E16" s="6" t="s">
        <v>31</v>
      </c>
      <c r="F16" s="6" t="s">
        <v>32</v>
      </c>
      <c r="G16" s="6"/>
      <c r="H16" s="6" t="s">
        <v>33</v>
      </c>
    </row>
    <row r="17" spans="1:10" x14ac:dyDescent="0.35">
      <c r="A17" s="5" t="s">
        <v>18</v>
      </c>
      <c r="B17" s="6">
        <v>96</v>
      </c>
      <c r="C17" s="6">
        <v>30</v>
      </c>
      <c r="D17" s="6"/>
      <c r="E17" s="6" t="s">
        <v>34</v>
      </c>
      <c r="F17" s="6" t="s">
        <v>35</v>
      </c>
      <c r="G17" s="6">
        <v>35</v>
      </c>
      <c r="H17" s="6" t="s">
        <v>36</v>
      </c>
    </row>
    <row r="18" spans="1:10" ht="15" thickBot="1" x14ac:dyDescent="0.4">
      <c r="A18" s="7" t="s">
        <v>19</v>
      </c>
      <c r="B18" s="8">
        <f>SUM(B17,B16)</f>
        <v>143</v>
      </c>
      <c r="C18" s="8">
        <f>SUM(C16:C17)</f>
        <v>70</v>
      </c>
      <c r="D18" s="8">
        <f>SUM(B18:C18)</f>
        <v>213</v>
      </c>
      <c r="E18" s="9"/>
      <c r="F18" s="9"/>
      <c r="G18" s="9">
        <f>SUM(G16:G17)</f>
        <v>35</v>
      </c>
      <c r="H18" s="9"/>
      <c r="I18" s="8">
        <f>SUM(D18-G18)</f>
        <v>178</v>
      </c>
      <c r="J18" s="10">
        <f>SUM(G18/D18)</f>
        <v>0.16431924882629109</v>
      </c>
    </row>
    <row r="19" spans="1:10" ht="15" thickTop="1" x14ac:dyDescent="0.35">
      <c r="A19" s="3" t="s">
        <v>37</v>
      </c>
      <c r="B19" s="4"/>
      <c r="C19" s="4"/>
      <c r="D19" s="4"/>
      <c r="E19" s="4"/>
      <c r="F19" s="4"/>
      <c r="G19" s="4"/>
      <c r="H19" s="3"/>
      <c r="I19" s="3"/>
    </row>
    <row r="20" spans="1:10" x14ac:dyDescent="0.35">
      <c r="A20" s="5" t="s">
        <v>38</v>
      </c>
      <c r="B20" s="6">
        <v>40</v>
      </c>
      <c r="C20" s="6"/>
      <c r="D20" s="6"/>
      <c r="E20" s="6"/>
      <c r="F20" s="6"/>
      <c r="G20" s="6"/>
    </row>
    <row r="21" spans="1:10" x14ac:dyDescent="0.35">
      <c r="A21" s="5"/>
      <c r="B21" s="6"/>
      <c r="C21" s="6"/>
      <c r="D21" s="6"/>
      <c r="E21" s="6" t="s">
        <v>39</v>
      </c>
      <c r="F21" s="6"/>
      <c r="G21" s="6">
        <v>18</v>
      </c>
    </row>
    <row r="22" spans="1:10" x14ac:dyDescent="0.35">
      <c r="A22" s="5" t="s">
        <v>18</v>
      </c>
      <c r="B22" s="6">
        <v>69</v>
      </c>
      <c r="C22" s="6">
        <v>20</v>
      </c>
      <c r="D22" s="6"/>
      <c r="E22" s="6" t="s">
        <v>40</v>
      </c>
      <c r="F22" s="6" t="s">
        <v>41</v>
      </c>
      <c r="G22" s="6">
        <v>10</v>
      </c>
      <c r="H22" t="s">
        <v>42</v>
      </c>
    </row>
    <row r="23" spans="1:10" ht="15" thickBot="1" x14ac:dyDescent="0.4">
      <c r="A23" s="7" t="s">
        <v>19</v>
      </c>
      <c r="B23" s="9">
        <f>SUM(B20:B22)</f>
        <v>109</v>
      </c>
      <c r="C23" s="9">
        <f>SUM(C22)</f>
        <v>20</v>
      </c>
      <c r="D23" s="9">
        <f>SUM(B23:C23)</f>
        <v>129</v>
      </c>
      <c r="E23" s="9"/>
      <c r="F23" s="9"/>
      <c r="G23" s="9">
        <f>SUM(G21:G22)</f>
        <v>28</v>
      </c>
      <c r="H23" s="8"/>
      <c r="I23" s="8">
        <f>SUM(D23-G23)</f>
        <v>101</v>
      </c>
      <c r="J23" s="10">
        <f>SUM(G23/D23)</f>
        <v>0.21705426356589147</v>
      </c>
    </row>
    <row r="24" spans="1:10" ht="15" thickTop="1" x14ac:dyDescent="0.35">
      <c r="A24" s="3" t="s">
        <v>43</v>
      </c>
      <c r="B24" s="4"/>
      <c r="C24" s="4"/>
      <c r="D24" s="4"/>
      <c r="E24" s="4"/>
      <c r="F24" s="4"/>
      <c r="G24" s="4"/>
      <c r="H24" s="3"/>
      <c r="I24" s="3"/>
    </row>
    <row r="25" spans="1:10" x14ac:dyDescent="0.35">
      <c r="A25" s="5" t="s">
        <v>43</v>
      </c>
      <c r="B25" s="6">
        <v>465</v>
      </c>
      <c r="C25" s="6"/>
      <c r="D25" s="6">
        <v>695</v>
      </c>
      <c r="E25" s="6" t="s">
        <v>44</v>
      </c>
      <c r="F25" s="6" t="s">
        <v>45</v>
      </c>
      <c r="G25" s="6">
        <v>141</v>
      </c>
      <c r="H25" s="12" t="s">
        <v>46</v>
      </c>
    </row>
    <row r="26" spans="1:10" x14ac:dyDescent="0.35">
      <c r="A26" s="5"/>
      <c r="B26" s="6"/>
      <c r="C26" s="6"/>
      <c r="D26" s="6"/>
      <c r="E26" s="6" t="s">
        <v>44</v>
      </c>
      <c r="F26" s="6" t="s">
        <v>47</v>
      </c>
      <c r="G26" s="6">
        <v>14</v>
      </c>
      <c r="H26" s="12" t="s">
        <v>48</v>
      </c>
    </row>
    <row r="27" spans="1:10" x14ac:dyDescent="0.35">
      <c r="A27" s="5"/>
      <c r="B27" s="6"/>
      <c r="C27" s="6"/>
      <c r="D27" s="6"/>
      <c r="E27" s="6" t="s">
        <v>49</v>
      </c>
      <c r="F27" s="6" t="s">
        <v>50</v>
      </c>
      <c r="G27" s="6">
        <v>48</v>
      </c>
      <c r="H27" s="12" t="s">
        <v>51</v>
      </c>
    </row>
    <row r="28" spans="1:10" x14ac:dyDescent="0.35">
      <c r="A28" s="5"/>
      <c r="B28" s="6"/>
      <c r="C28" s="6"/>
      <c r="D28" s="6"/>
      <c r="E28" s="6" t="s">
        <v>44</v>
      </c>
      <c r="F28" s="6" t="s">
        <v>52</v>
      </c>
      <c r="G28" s="6">
        <v>38</v>
      </c>
      <c r="H28" s="12" t="s">
        <v>48</v>
      </c>
    </row>
    <row r="29" spans="1:10" x14ac:dyDescent="0.35">
      <c r="A29" s="5" t="s">
        <v>18</v>
      </c>
      <c r="B29" s="6">
        <v>134</v>
      </c>
      <c r="C29" s="6"/>
      <c r="D29" s="6"/>
      <c r="E29" s="6"/>
      <c r="F29" s="6"/>
      <c r="G29" s="6"/>
    </row>
    <row r="30" spans="1:10" ht="15" thickBot="1" x14ac:dyDescent="0.4">
      <c r="A30" s="7" t="s">
        <v>19</v>
      </c>
      <c r="B30" s="9">
        <f>SUM(B25:B29)</f>
        <v>599</v>
      </c>
      <c r="C30" s="9"/>
      <c r="D30" s="9">
        <f>SUM(D25:D29)</f>
        <v>695</v>
      </c>
      <c r="E30" s="9"/>
      <c r="F30" s="9"/>
      <c r="G30" s="9">
        <f>SUM(G25:G29)</f>
        <v>241</v>
      </c>
      <c r="H30" s="8"/>
      <c r="I30" s="8">
        <f>SUM(D30-G30)</f>
        <v>454</v>
      </c>
      <c r="J30" s="10">
        <f>SUM(G30,G36,G38,G37,G39)/D30</f>
        <v>0.49064748201438851</v>
      </c>
    </row>
    <row r="31" spans="1:10" ht="15" thickTop="1" x14ac:dyDescent="0.35">
      <c r="A31" s="3" t="s">
        <v>53</v>
      </c>
      <c r="B31" s="4"/>
      <c r="C31" s="4"/>
      <c r="D31" s="4"/>
      <c r="E31" s="4"/>
      <c r="F31" s="4"/>
      <c r="G31" s="4"/>
      <c r="H31" s="3"/>
      <c r="I31" s="3"/>
    </row>
    <row r="32" spans="1:10" x14ac:dyDescent="0.35">
      <c r="A32" s="5" t="s">
        <v>54</v>
      </c>
      <c r="B32" s="6">
        <v>9</v>
      </c>
      <c r="C32" s="6">
        <v>6</v>
      </c>
      <c r="D32" s="6"/>
      <c r="E32" s="6"/>
      <c r="F32" s="6"/>
      <c r="G32" s="6"/>
    </row>
    <row r="33" spans="1:13" x14ac:dyDescent="0.35">
      <c r="A33" s="5" t="s">
        <v>55</v>
      </c>
      <c r="B33" s="6">
        <v>141</v>
      </c>
      <c r="C33" s="6">
        <v>69</v>
      </c>
      <c r="D33" s="6"/>
      <c r="E33" s="6" t="s">
        <v>56</v>
      </c>
      <c r="F33" s="6" t="s">
        <v>57</v>
      </c>
      <c r="G33" s="6">
        <v>60</v>
      </c>
    </row>
    <row r="34" spans="1:13" ht="15" thickBot="1" x14ac:dyDescent="0.4">
      <c r="A34" s="7" t="s">
        <v>19</v>
      </c>
      <c r="B34" s="9">
        <f>SUM(B32:B33)</f>
        <v>150</v>
      </c>
      <c r="C34" s="9">
        <f>SUM(C32:C33)</f>
        <v>75</v>
      </c>
      <c r="D34" s="9">
        <f>SUM(B34:C34)</f>
        <v>225</v>
      </c>
      <c r="E34" s="9"/>
      <c r="F34" s="9"/>
      <c r="G34" s="9">
        <f>SUM(G33)</f>
        <v>60</v>
      </c>
      <c r="H34" s="8"/>
      <c r="I34" s="8">
        <f>SUM(D34-G34)</f>
        <v>165</v>
      </c>
      <c r="J34" s="10">
        <f>SUM(G34/D34)</f>
        <v>0.26666666666666666</v>
      </c>
    </row>
    <row r="35" spans="1:13" ht="15" thickTop="1" x14ac:dyDescent="0.35">
      <c r="A35" s="3" t="s">
        <v>58</v>
      </c>
      <c r="B35" s="3"/>
      <c r="C35" s="3"/>
      <c r="D35" s="3"/>
      <c r="E35" s="4"/>
      <c r="F35" s="4"/>
      <c r="G35" s="4"/>
      <c r="H35" s="3"/>
      <c r="I35" s="3"/>
    </row>
    <row r="36" spans="1:13" x14ac:dyDescent="0.35">
      <c r="A36" s="5" t="s">
        <v>43</v>
      </c>
      <c r="B36" s="6"/>
      <c r="C36" s="6"/>
      <c r="D36" s="6"/>
      <c r="E36" s="6" t="s">
        <v>44</v>
      </c>
      <c r="F36" s="6" t="s">
        <v>45</v>
      </c>
      <c r="G36" s="6">
        <v>13</v>
      </c>
      <c r="M36" s="10"/>
    </row>
    <row r="37" spans="1:13" x14ac:dyDescent="0.35">
      <c r="A37" s="5"/>
      <c r="B37" s="6"/>
      <c r="C37" s="6"/>
      <c r="D37" s="6"/>
      <c r="E37" s="6" t="s">
        <v>59</v>
      </c>
      <c r="F37" s="6" t="s">
        <v>60</v>
      </c>
      <c r="G37" s="6">
        <v>45</v>
      </c>
    </row>
    <row r="38" spans="1:13" x14ac:dyDescent="0.35">
      <c r="A38" s="5"/>
      <c r="B38" s="6"/>
      <c r="C38" s="6"/>
      <c r="D38" s="6"/>
      <c r="E38" s="6" t="s">
        <v>59</v>
      </c>
      <c r="F38" s="6" t="s">
        <v>61</v>
      </c>
      <c r="G38" s="6">
        <v>29</v>
      </c>
      <c r="H38" t="s">
        <v>62</v>
      </c>
    </row>
    <row r="39" spans="1:13" x14ac:dyDescent="0.35">
      <c r="A39" s="5"/>
      <c r="B39" s="6"/>
      <c r="C39" s="6"/>
      <c r="D39" s="6"/>
      <c r="E39" s="6" t="s">
        <v>63</v>
      </c>
      <c r="F39" s="6" t="s">
        <v>64</v>
      </c>
      <c r="G39" s="6">
        <v>13</v>
      </c>
    </row>
    <row r="40" spans="1:13" x14ac:dyDescent="0.35">
      <c r="A40" s="5" t="s">
        <v>21</v>
      </c>
      <c r="E40" s="6" t="s">
        <v>22</v>
      </c>
      <c r="F40" s="6" t="s">
        <v>27</v>
      </c>
      <c r="G40" s="6">
        <v>68</v>
      </c>
    </row>
    <row r="41" spans="1:13" ht="15" thickBot="1" x14ac:dyDescent="0.4">
      <c r="A41" s="7" t="s">
        <v>19</v>
      </c>
      <c r="B41" s="8"/>
      <c r="C41" s="8"/>
      <c r="D41" s="8"/>
      <c r="E41" s="8"/>
      <c r="F41" s="8"/>
      <c r="G41" s="8">
        <f>SUM(G36:G40)</f>
        <v>168</v>
      </c>
      <c r="H41" s="8"/>
      <c r="I41" s="8"/>
    </row>
    <row r="42" spans="1:13" ht="15" thickTop="1" x14ac:dyDescent="0.35">
      <c r="A42" s="3" t="s">
        <v>65</v>
      </c>
      <c r="B42" s="3"/>
      <c r="C42" s="3"/>
      <c r="D42" s="3"/>
      <c r="E42" s="3"/>
      <c r="F42" s="3"/>
      <c r="G42" s="3"/>
      <c r="H42" s="3"/>
      <c r="I42" s="3"/>
    </row>
    <row r="43" spans="1:13" x14ac:dyDescent="0.35">
      <c r="A43" s="5" t="s">
        <v>66</v>
      </c>
      <c r="E43" s="6" t="s">
        <v>63</v>
      </c>
      <c r="F43" s="6" t="s">
        <v>67</v>
      </c>
      <c r="G43" s="6">
        <v>18</v>
      </c>
      <c r="H43" t="s">
        <v>68</v>
      </c>
    </row>
    <row r="44" spans="1:13" x14ac:dyDescent="0.35">
      <c r="A44" s="5"/>
      <c r="E44" s="6" t="s">
        <v>44</v>
      </c>
      <c r="F44" s="6" t="s">
        <v>50</v>
      </c>
      <c r="G44" s="6">
        <v>144</v>
      </c>
      <c r="H44" t="s">
        <v>69</v>
      </c>
    </row>
    <row r="45" spans="1:13" ht="15" thickBot="1" x14ac:dyDescent="0.4">
      <c r="A45" s="7" t="s">
        <v>70</v>
      </c>
      <c r="B45" s="8">
        <v>195</v>
      </c>
      <c r="C45" s="8">
        <v>8</v>
      </c>
      <c r="D45" s="8">
        <f>SUM(B45:C45)</f>
        <v>203</v>
      </c>
      <c r="E45" s="9"/>
      <c r="F45" s="9"/>
      <c r="G45" s="9">
        <f>SUM(G43:G44)</f>
        <v>162</v>
      </c>
      <c r="H45" s="8"/>
      <c r="I45" s="8">
        <f>SUM(D45-G45)</f>
        <v>41</v>
      </c>
      <c r="J45" s="10">
        <f>SUM(G45/D45)</f>
        <v>0.79802955665024633</v>
      </c>
    </row>
    <row r="46" spans="1:13" ht="15" thickTop="1" x14ac:dyDescent="0.35">
      <c r="A46" s="5" t="s">
        <v>71</v>
      </c>
      <c r="E46" s="6" t="s">
        <v>72</v>
      </c>
      <c r="F46" s="6" t="s">
        <v>73</v>
      </c>
      <c r="G46" s="6">
        <v>11</v>
      </c>
      <c r="H46" t="s">
        <v>74</v>
      </c>
    </row>
    <row r="47" spans="1:13" x14ac:dyDescent="0.35">
      <c r="A47" s="5"/>
      <c r="E47" s="6" t="s">
        <v>72</v>
      </c>
      <c r="F47" s="6" t="s">
        <v>75</v>
      </c>
      <c r="G47" s="6">
        <v>19</v>
      </c>
      <c r="H47" t="s">
        <v>74</v>
      </c>
    </row>
    <row r="48" spans="1:13" ht="15" thickBot="1" x14ac:dyDescent="0.4">
      <c r="A48" s="7" t="s">
        <v>19</v>
      </c>
      <c r="B48" s="8">
        <v>36</v>
      </c>
      <c r="C48" s="8">
        <v>74</v>
      </c>
      <c r="D48" s="8">
        <f>SUM(B48:C48)</f>
        <v>110</v>
      </c>
      <c r="E48" s="9"/>
      <c r="F48" s="9"/>
      <c r="G48" s="9">
        <f>SUM(G46:G47)</f>
        <v>30</v>
      </c>
      <c r="H48" s="8"/>
      <c r="I48" s="8">
        <f>SUM(D48-G48)</f>
        <v>80</v>
      </c>
      <c r="J48" s="10">
        <f>SUM(G48/D48)</f>
        <v>0.27272727272727271</v>
      </c>
    </row>
    <row r="49" spans="1:10" ht="15" thickTop="1" x14ac:dyDescent="0.35">
      <c r="A49" s="5"/>
      <c r="E49" s="6" t="s">
        <v>76</v>
      </c>
      <c r="F49" s="6" t="s">
        <v>77</v>
      </c>
      <c r="G49" s="6">
        <v>6</v>
      </c>
      <c r="J49" s="10"/>
    </row>
    <row r="50" spans="1:10" x14ac:dyDescent="0.35">
      <c r="A50" s="5" t="s">
        <v>78</v>
      </c>
      <c r="E50" s="6" t="s">
        <v>76</v>
      </c>
      <c r="F50" s="6" t="s">
        <v>79</v>
      </c>
      <c r="G50" s="6">
        <v>11</v>
      </c>
      <c r="H50" t="s">
        <v>78</v>
      </c>
    </row>
    <row r="51" spans="1:10" ht="15" thickBot="1" x14ac:dyDescent="0.4">
      <c r="A51" s="7" t="s">
        <v>19</v>
      </c>
      <c r="B51" s="8">
        <v>264</v>
      </c>
      <c r="C51" s="8">
        <v>26</v>
      </c>
      <c r="D51" s="8">
        <f>SUM(B51:C51)</f>
        <v>290</v>
      </c>
      <c r="E51" s="9"/>
      <c r="F51" s="9"/>
      <c r="G51" s="9">
        <f>SUM(G49:G50)</f>
        <v>17</v>
      </c>
      <c r="H51" s="8"/>
      <c r="I51" s="8">
        <f>SUM(D51-G51)</f>
        <v>273</v>
      </c>
      <c r="J51" s="10">
        <f>SUM(G51/D51)</f>
        <v>5.8620689655172413E-2</v>
      </c>
    </row>
    <row r="52" spans="1:10" ht="15" thickTop="1" x14ac:dyDescent="0.35">
      <c r="A52" s="5"/>
      <c r="E52" s="6" t="s">
        <v>40</v>
      </c>
      <c r="F52" s="6" t="s">
        <v>41</v>
      </c>
      <c r="G52" s="6">
        <v>50</v>
      </c>
      <c r="H52" t="s">
        <v>80</v>
      </c>
    </row>
    <row r="53" spans="1:10" x14ac:dyDescent="0.35">
      <c r="A53" s="5"/>
      <c r="E53" s="6" t="s">
        <v>81</v>
      </c>
      <c r="F53" s="6" t="s">
        <v>82</v>
      </c>
      <c r="G53" s="6">
        <v>87</v>
      </c>
      <c r="H53" t="s">
        <v>83</v>
      </c>
    </row>
    <row r="54" spans="1:10" x14ac:dyDescent="0.35">
      <c r="A54" s="5"/>
      <c r="E54" s="6" t="s">
        <v>84</v>
      </c>
      <c r="F54" s="6" t="s">
        <v>85</v>
      </c>
      <c r="G54" s="6">
        <v>16</v>
      </c>
      <c r="H54" t="s">
        <v>86</v>
      </c>
    </row>
    <row r="55" spans="1:10" ht="15" thickBot="1" x14ac:dyDescent="0.4">
      <c r="A55" s="7" t="s">
        <v>87</v>
      </c>
      <c r="B55" s="8"/>
      <c r="C55" s="8"/>
      <c r="D55" s="8"/>
      <c r="E55" s="8"/>
      <c r="F55" s="8"/>
      <c r="G55" s="8">
        <f>SUM(G7,G14,G18,G23,G30,G34,G41,G45,G48,G51,G52,G54,G53)</f>
        <v>967</v>
      </c>
      <c r="H55" s="8"/>
      <c r="I55" s="8"/>
    </row>
    <row r="56" spans="1:10" ht="49.5" customHeight="1" thickTop="1" x14ac:dyDescent="0.35">
      <c r="A56" s="13" t="s">
        <v>88</v>
      </c>
      <c r="G56" s="14">
        <f>SUM(G41/G55)</f>
        <v>0.17373319544984489</v>
      </c>
    </row>
    <row r="57" spans="1:10" ht="29.25" customHeight="1" x14ac:dyDescent="0.35">
      <c r="A57" s="15" t="s">
        <v>89</v>
      </c>
      <c r="F57" s="6"/>
      <c r="G57">
        <f>G41</f>
        <v>168</v>
      </c>
    </row>
    <row r="58" spans="1:10" ht="18.75" customHeight="1" x14ac:dyDescent="0.35">
      <c r="A58" s="15" t="s">
        <v>90</v>
      </c>
      <c r="G58">
        <f>SUM(G7,G14,G18,G23,G34,G41,G45,G48,G51,G52,G53,G54)</f>
        <v>726</v>
      </c>
    </row>
    <row r="59" spans="1:10" ht="12" customHeight="1" x14ac:dyDescent="0.35">
      <c r="A59" s="15" t="s">
        <v>91</v>
      </c>
      <c r="G59" s="10">
        <f>SUM(G58/G55)</f>
        <v>0.75077559462254395</v>
      </c>
    </row>
    <row r="60" spans="1:10" ht="16.5" customHeight="1" x14ac:dyDescent="0.35">
      <c r="A60" s="15" t="s">
        <v>92</v>
      </c>
      <c r="B60">
        <f>G36</f>
        <v>13</v>
      </c>
      <c r="C60" s="10">
        <f>SUM(B60/B62)</f>
        <v>7.7380952380952384E-2</v>
      </c>
    </row>
    <row r="61" spans="1:10" x14ac:dyDescent="0.35">
      <c r="A61" s="15" t="s">
        <v>93</v>
      </c>
      <c r="B61">
        <f>SUM(G25,G26)</f>
        <v>155</v>
      </c>
      <c r="C61" s="10">
        <f>SUM(B61/B62)</f>
        <v>0.92261904761904767</v>
      </c>
    </row>
    <row r="62" spans="1:10" x14ac:dyDescent="0.35">
      <c r="B62">
        <f>SUM(B60:B61)</f>
        <v>168</v>
      </c>
    </row>
    <row r="63" spans="1:10" ht="29" x14ac:dyDescent="0.35">
      <c r="A63" s="15" t="s">
        <v>94</v>
      </c>
      <c r="B63">
        <f>G40</f>
        <v>68</v>
      </c>
      <c r="C63" s="10">
        <f>SUM(B63/80)</f>
        <v>0.85</v>
      </c>
    </row>
    <row r="64" spans="1:10" x14ac:dyDescent="0.35">
      <c r="A64" s="15" t="s">
        <v>95</v>
      </c>
      <c r="B64">
        <f>SUM(G11)</f>
        <v>12</v>
      </c>
      <c r="C64" s="10">
        <f>SUM(B64/80)</f>
        <v>0.15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7163D-1855-4BE3-8657-C68FE90BE4D5}">
  <dimension ref="A1:M22"/>
  <sheetViews>
    <sheetView tabSelected="1" zoomScale="140" zoomScaleNormal="140" workbookViewId="0"/>
  </sheetViews>
  <sheetFormatPr defaultRowHeight="14.5" x14ac:dyDescent="0.35"/>
  <cols>
    <col min="1" max="1" width="14.7265625" bestFit="1" customWidth="1"/>
    <col min="2" max="2" width="14.1796875" customWidth="1"/>
    <col min="3" max="3" width="10.7265625" customWidth="1"/>
    <col min="5" max="5" width="13.26953125" customWidth="1"/>
    <col min="6" max="6" width="14.1796875" customWidth="1"/>
    <col min="10" max="11" width="15.26953125" bestFit="1" customWidth="1"/>
    <col min="12" max="12" width="13.81640625" bestFit="1" customWidth="1"/>
    <col min="13" max="13" width="14.54296875" hidden="1" customWidth="1"/>
  </cols>
  <sheetData>
    <row r="1" spans="1:13" ht="87.5" thickBot="1" x14ac:dyDescent="0.4">
      <c r="B1" s="16" t="s">
        <v>96</v>
      </c>
      <c r="C1" s="16" t="s">
        <v>97</v>
      </c>
      <c r="D1" s="16" t="s">
        <v>98</v>
      </c>
      <c r="E1" s="16" t="s">
        <v>99</v>
      </c>
      <c r="F1" s="16" t="s">
        <v>100</v>
      </c>
      <c r="G1" s="16" t="s">
        <v>101</v>
      </c>
      <c r="H1" s="16" t="s">
        <v>102</v>
      </c>
      <c r="I1" s="16" t="s">
        <v>103</v>
      </c>
      <c r="J1" s="16" t="s">
        <v>104</v>
      </c>
      <c r="K1" s="16" t="s">
        <v>105</v>
      </c>
      <c r="L1" s="16" t="s">
        <v>106</v>
      </c>
      <c r="M1" s="17"/>
    </row>
    <row r="2" spans="1:13" x14ac:dyDescent="0.35">
      <c r="A2" s="18" t="s">
        <v>10</v>
      </c>
      <c r="B2">
        <v>103</v>
      </c>
      <c r="C2">
        <v>15</v>
      </c>
      <c r="D2">
        <f>SUM(B2,C2)</f>
        <v>118</v>
      </c>
      <c r="E2">
        <f>SUM(B2/2)</f>
        <v>51.5</v>
      </c>
      <c r="F2" s="19">
        <v>0</v>
      </c>
      <c r="G2" s="20">
        <v>2</v>
      </c>
      <c r="H2">
        <v>3</v>
      </c>
      <c r="I2" s="20">
        <v>1</v>
      </c>
      <c r="J2" s="19">
        <f>SUM(109741.5*H2)</f>
        <v>329224.5</v>
      </c>
      <c r="K2" s="19">
        <f t="shared" ref="K2:K7" si="0">SUM(F2,J2)</f>
        <v>329224.5</v>
      </c>
      <c r="M2" s="19"/>
    </row>
    <row r="3" spans="1:13" x14ac:dyDescent="0.35">
      <c r="A3" s="18" t="s">
        <v>55</v>
      </c>
      <c r="B3">
        <v>180</v>
      </c>
      <c r="C3">
        <v>75</v>
      </c>
      <c r="D3">
        <f t="shared" ref="D3:D5" si="1">SUM(B3,C3)</f>
        <v>255</v>
      </c>
      <c r="E3">
        <f t="shared" ref="E3:E9" si="2">SUM(B3/2)</f>
        <v>90</v>
      </c>
      <c r="F3" s="19">
        <v>0</v>
      </c>
      <c r="G3" s="20">
        <v>3</v>
      </c>
      <c r="H3">
        <v>5</v>
      </c>
      <c r="I3" s="20">
        <v>2</v>
      </c>
      <c r="J3" s="19">
        <f>SUM(126528.63*H3)</f>
        <v>632643.15</v>
      </c>
      <c r="K3" s="19">
        <f>SUM(F3,J3)</f>
        <v>632643.15</v>
      </c>
      <c r="M3" s="19"/>
    </row>
    <row r="4" spans="1:13" x14ac:dyDescent="0.35">
      <c r="A4" s="18" t="s">
        <v>20</v>
      </c>
      <c r="B4">
        <v>157</v>
      </c>
      <c r="C4">
        <v>88</v>
      </c>
      <c r="D4">
        <f t="shared" si="1"/>
        <v>245</v>
      </c>
      <c r="E4">
        <f t="shared" si="2"/>
        <v>78.5</v>
      </c>
      <c r="F4" s="19">
        <v>75000</v>
      </c>
      <c r="G4" s="20">
        <v>4</v>
      </c>
      <c r="H4">
        <v>4</v>
      </c>
      <c r="I4" s="20">
        <v>0</v>
      </c>
      <c r="J4" s="19">
        <f>SUM(134000*H4)</f>
        <v>536000</v>
      </c>
      <c r="K4" s="19">
        <f t="shared" si="0"/>
        <v>611000</v>
      </c>
      <c r="M4" s="19"/>
    </row>
    <row r="5" spans="1:13" x14ac:dyDescent="0.35">
      <c r="A5" s="18" t="s">
        <v>29</v>
      </c>
      <c r="B5">
        <v>143</v>
      </c>
      <c r="C5">
        <v>70</v>
      </c>
      <c r="D5">
        <f t="shared" si="1"/>
        <v>213</v>
      </c>
      <c r="E5">
        <f t="shared" si="2"/>
        <v>71.5</v>
      </c>
      <c r="F5" s="19">
        <v>40000</v>
      </c>
      <c r="G5" s="20">
        <v>3</v>
      </c>
      <c r="H5">
        <v>4</v>
      </c>
      <c r="I5" s="20">
        <v>1</v>
      </c>
      <c r="J5" s="19">
        <f>SUM(80000*H5)</f>
        <v>320000</v>
      </c>
      <c r="K5" s="19">
        <f t="shared" si="0"/>
        <v>360000</v>
      </c>
      <c r="M5" s="19"/>
    </row>
    <row r="6" spans="1:13" x14ac:dyDescent="0.35">
      <c r="A6" s="18" t="s">
        <v>43</v>
      </c>
      <c r="B6">
        <v>599</v>
      </c>
      <c r="C6">
        <v>695</v>
      </c>
      <c r="D6">
        <f>SUM(B6,C6)</f>
        <v>1294</v>
      </c>
      <c r="E6">
        <f t="shared" si="2"/>
        <v>299.5</v>
      </c>
      <c r="F6" s="19">
        <v>0</v>
      </c>
      <c r="G6" s="20">
        <v>13</v>
      </c>
      <c r="H6">
        <v>15</v>
      </c>
      <c r="I6" s="20">
        <v>2</v>
      </c>
      <c r="J6" s="19">
        <f>SUM(126528.63*H6)</f>
        <v>1897929.4500000002</v>
      </c>
      <c r="K6" s="19">
        <f t="shared" si="0"/>
        <v>1897929.4500000002</v>
      </c>
      <c r="M6" s="19"/>
    </row>
    <row r="7" spans="1:13" x14ac:dyDescent="0.35">
      <c r="A7" s="18" t="s">
        <v>107</v>
      </c>
      <c r="B7">
        <v>109</v>
      </c>
      <c r="C7">
        <v>20</v>
      </c>
      <c r="D7">
        <f>SUM(B7,C7)</f>
        <v>129</v>
      </c>
      <c r="E7">
        <f t="shared" si="2"/>
        <v>54.5</v>
      </c>
      <c r="F7" s="19">
        <v>75000</v>
      </c>
      <c r="G7" s="20">
        <v>1</v>
      </c>
      <c r="H7">
        <v>3</v>
      </c>
      <c r="I7" s="20">
        <v>2</v>
      </c>
      <c r="J7" s="19">
        <f t="shared" ref="J7" si="3">SUM(105000*H7)</f>
        <v>315000</v>
      </c>
      <c r="K7" s="19">
        <f t="shared" si="0"/>
        <v>390000</v>
      </c>
      <c r="M7" s="19"/>
    </row>
    <row r="8" spans="1:13" x14ac:dyDescent="0.35">
      <c r="A8" s="18" t="s">
        <v>78</v>
      </c>
      <c r="B8">
        <v>268</v>
      </c>
      <c r="C8">
        <v>26</v>
      </c>
      <c r="D8">
        <f>SUM(B8,C8)</f>
        <v>294</v>
      </c>
      <c r="E8">
        <f t="shared" si="2"/>
        <v>134</v>
      </c>
      <c r="F8" s="19">
        <v>0</v>
      </c>
      <c r="G8" s="20">
        <v>3</v>
      </c>
      <c r="H8">
        <v>7</v>
      </c>
      <c r="I8" s="20">
        <v>4</v>
      </c>
      <c r="J8" s="19">
        <f>SUM(70926.53*H8)</f>
        <v>496485.70999999996</v>
      </c>
      <c r="K8" s="19">
        <f>J8</f>
        <v>496485.70999999996</v>
      </c>
      <c r="M8" s="19"/>
    </row>
    <row r="9" spans="1:13" ht="15" thickBot="1" x14ac:dyDescent="0.4">
      <c r="A9" s="21" t="s">
        <v>108</v>
      </c>
      <c r="B9" s="8">
        <f>SUM(B2:B8)</f>
        <v>1559</v>
      </c>
      <c r="C9" s="8">
        <f>SUM(C2:C8)</f>
        <v>989</v>
      </c>
      <c r="D9" s="8">
        <f>SUM(D2:D8)</f>
        <v>2548</v>
      </c>
      <c r="E9" s="8">
        <f t="shared" si="2"/>
        <v>779.5</v>
      </c>
      <c r="F9" s="22">
        <f>SUM(F2:F7)</f>
        <v>190000</v>
      </c>
      <c r="G9" s="8">
        <f>SUM(G2:G8)</f>
        <v>29</v>
      </c>
      <c r="H9" s="23">
        <f>SUM(H2:H8)</f>
        <v>41</v>
      </c>
      <c r="I9" s="23">
        <f>SUM(I2:I8)</f>
        <v>12</v>
      </c>
      <c r="J9" s="22">
        <f>SUM(J2:J8)</f>
        <v>4527282.8100000005</v>
      </c>
      <c r="K9" s="22">
        <f>SUM(K2:K8)</f>
        <v>4717282.8099999996</v>
      </c>
      <c r="L9" s="24">
        <v>3970000</v>
      </c>
    </row>
    <row r="10" spans="1:13" ht="15" thickTop="1" x14ac:dyDescent="0.35">
      <c r="J10">
        <v>543000</v>
      </c>
      <c r="K10" s="19"/>
    </row>
    <row r="11" spans="1:13" x14ac:dyDescent="0.35">
      <c r="A11" s="25" t="s">
        <v>109</v>
      </c>
      <c r="B11" t="s">
        <v>110</v>
      </c>
      <c r="J11" s="19">
        <f>SUM(J9:J10)</f>
        <v>5070282.8100000005</v>
      </c>
    </row>
    <row r="12" spans="1:13" x14ac:dyDescent="0.35">
      <c r="A12" s="25" t="s">
        <v>111</v>
      </c>
      <c r="B12" t="s">
        <v>112</v>
      </c>
      <c r="J12" s="19"/>
      <c r="K12" t="s">
        <v>113</v>
      </c>
      <c r="L12" s="19">
        <f>SUM(K9-L9)</f>
        <v>747282.80999999959</v>
      </c>
    </row>
    <row r="13" spans="1:13" x14ac:dyDescent="0.35">
      <c r="A13" s="25" t="s">
        <v>114</v>
      </c>
      <c r="B13" t="s">
        <v>115</v>
      </c>
      <c r="H13" s="20"/>
    </row>
    <row r="14" spans="1:13" x14ac:dyDescent="0.35">
      <c r="A14" s="25" t="s">
        <v>116</v>
      </c>
      <c r="B14" t="s">
        <v>117</v>
      </c>
      <c r="K14" s="19"/>
    </row>
    <row r="15" spans="1:13" x14ac:dyDescent="0.35">
      <c r="A15" s="25" t="s">
        <v>118</v>
      </c>
      <c r="B15" t="s">
        <v>119</v>
      </c>
      <c r="F15" s="20"/>
      <c r="K15" s="19"/>
      <c r="L15" s="26"/>
    </row>
    <row r="16" spans="1:13" x14ac:dyDescent="0.35">
      <c r="A16" s="25" t="s">
        <v>120</v>
      </c>
      <c r="B16" t="s">
        <v>121</v>
      </c>
      <c r="F16" s="20"/>
    </row>
    <row r="17" spans="2:13" x14ac:dyDescent="0.35">
      <c r="F17" s="20"/>
      <c r="L17" s="12"/>
      <c r="M17" s="19"/>
    </row>
    <row r="18" spans="2:13" x14ac:dyDescent="0.35">
      <c r="B18" s="27"/>
      <c r="F18" s="20"/>
    </row>
    <row r="19" spans="2:13" x14ac:dyDescent="0.35">
      <c r="F19" s="20"/>
    </row>
    <row r="20" spans="2:13" x14ac:dyDescent="0.35">
      <c r="F20" s="20"/>
    </row>
    <row r="21" spans="2:13" x14ac:dyDescent="0.35">
      <c r="F21" s="20"/>
    </row>
    <row r="22" spans="2:13" x14ac:dyDescent="0.35">
      <c r="E2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Shelter1</vt:lpstr>
      <vt:lpstr>Shelter</vt:lpstr>
      <vt:lpstr>street outreach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 Hilton</dc:creator>
  <cp:lastModifiedBy>Chuck Mottern</cp:lastModifiedBy>
  <dcterms:created xsi:type="dcterms:W3CDTF">2023-12-07T18:24:16Z</dcterms:created>
  <dcterms:modified xsi:type="dcterms:W3CDTF">2023-12-07T19:49:12Z</dcterms:modified>
</cp:coreProperties>
</file>