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\HOMELESSNESS\Continuum of Care\CoC Committees\Funding and Evaluation Committee\Meetings\2023\7.13.23\"/>
    </mc:Choice>
  </mc:AlternateContent>
  <xr:revisionPtr revIDLastSave="0" documentId="13_ncr:1_{BFFBDECF-ECE9-4608-BC0B-D9C6945C0F03}" xr6:coauthVersionLast="47" xr6:coauthVersionMax="47" xr10:uidLastSave="{00000000-0000-0000-0000-000000000000}"/>
  <bookViews>
    <workbookView xWindow="-110" yWindow="-110" windowWidth="19420" windowHeight="10420" xr2:uid="{25E2E5BF-61F4-9149-B788-29FE04560C69}"/>
  </bookViews>
  <sheets>
    <sheet name="By Project Catgory" sheetId="1" r:id="rId1"/>
    <sheet name="SubPop Analys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E26" i="3" s="1"/>
  <c r="F82" i="1"/>
  <c r="F91" i="1"/>
  <c r="F72" i="1"/>
  <c r="G72" i="1"/>
  <c r="H72" i="1"/>
  <c r="J72" i="1"/>
  <c r="K72" i="1"/>
  <c r="M72" i="1"/>
  <c r="M18" i="1"/>
  <c r="M30" i="1"/>
  <c r="M40" i="1"/>
  <c r="M48" i="1"/>
  <c r="M59" i="1"/>
  <c r="M82" i="1"/>
  <c r="M91" i="1"/>
  <c r="D65" i="3"/>
  <c r="H33" i="3"/>
  <c r="H34" i="3"/>
  <c r="H35" i="3"/>
  <c r="H36" i="3"/>
  <c r="H37" i="3"/>
  <c r="H30" i="3"/>
  <c r="L46" i="1"/>
  <c r="I46" i="1"/>
  <c r="D61" i="3"/>
  <c r="D80" i="3"/>
  <c r="D72" i="3"/>
  <c r="I72" i="3" s="1"/>
  <c r="D71" i="3"/>
  <c r="D70" i="3"/>
  <c r="D69" i="3"/>
  <c r="D66" i="3"/>
  <c r="F53" i="3"/>
  <c r="G14" i="3"/>
  <c r="I7" i="3"/>
  <c r="I8" i="3"/>
  <c r="I9" i="3"/>
  <c r="I10" i="3"/>
  <c r="I11" i="3"/>
  <c r="I12" i="3"/>
  <c r="I13" i="3"/>
  <c r="E22" i="3" l="1"/>
  <c r="E21" i="3"/>
  <c r="E20" i="3"/>
  <c r="E18" i="3"/>
  <c r="E25" i="3"/>
  <c r="E23" i="3"/>
  <c r="E19" i="3"/>
  <c r="E24" i="3"/>
  <c r="H31" i="3"/>
  <c r="F61" i="3" l="1"/>
  <c r="E83" i="3"/>
  <c r="K40" i="1"/>
  <c r="L6" i="1" s="1"/>
  <c r="K91" i="1"/>
  <c r="K82" i="1"/>
  <c r="L9" i="1"/>
  <c r="K59" i="1"/>
  <c r="L8" i="1" s="1"/>
  <c r="K48" i="1"/>
  <c r="K28" i="1"/>
  <c r="L28" i="1" s="1"/>
  <c r="L54" i="1"/>
  <c r="L55" i="1"/>
  <c r="L56" i="1"/>
  <c r="L57" i="1"/>
  <c r="L58" i="1"/>
  <c r="L53" i="1"/>
  <c r="L26" i="1"/>
  <c r="L27" i="1"/>
  <c r="L90" i="1"/>
  <c r="L89" i="1"/>
  <c r="L88" i="1"/>
  <c r="L87" i="1"/>
  <c r="L11" i="1"/>
  <c r="L81" i="1"/>
  <c r="L80" i="1"/>
  <c r="L79" i="1"/>
  <c r="L78" i="1"/>
  <c r="L77" i="1"/>
  <c r="L71" i="1"/>
  <c r="L70" i="1"/>
  <c r="L69" i="1"/>
  <c r="L68" i="1"/>
  <c r="L67" i="1"/>
  <c r="L66" i="1"/>
  <c r="L65" i="1"/>
  <c r="L64" i="1"/>
  <c r="L47" i="1"/>
  <c r="L45" i="1"/>
  <c r="L39" i="1"/>
  <c r="L35" i="1"/>
  <c r="L38" i="1"/>
  <c r="L37" i="1"/>
  <c r="L36" i="1"/>
  <c r="K29" i="1"/>
  <c r="L29" i="1" s="1"/>
  <c r="L25" i="1"/>
  <c r="L24" i="1"/>
  <c r="L23" i="1"/>
  <c r="K18" i="1"/>
  <c r="L4" i="1" s="1"/>
  <c r="L16" i="1"/>
  <c r="L18" i="1" s="1"/>
  <c r="F59" i="1"/>
  <c r="F48" i="1"/>
  <c r="F40" i="1"/>
  <c r="F30" i="1"/>
  <c r="F18" i="1"/>
  <c r="D83" i="3"/>
  <c r="I68" i="3"/>
  <c r="I65" i="3"/>
  <c r="I71" i="3"/>
  <c r="I70" i="3"/>
  <c r="I69" i="3"/>
  <c r="I66" i="3"/>
  <c r="F73" i="3"/>
  <c r="G73" i="3"/>
  <c r="H73" i="3"/>
  <c r="E73" i="3"/>
  <c r="E14" i="3"/>
  <c r="D14" i="3"/>
  <c r="F38" i="3"/>
  <c r="J59" i="1"/>
  <c r="J8" i="1" s="1"/>
  <c r="J48" i="1"/>
  <c r="J7" i="1" s="1"/>
  <c r="J40" i="1"/>
  <c r="J6" i="1" s="1"/>
  <c r="J30" i="1"/>
  <c r="J5" i="1" s="1"/>
  <c r="J18" i="1"/>
  <c r="J4" i="1" s="1"/>
  <c r="J82" i="1"/>
  <c r="J10" i="1" s="1"/>
  <c r="J91" i="1"/>
  <c r="J11" i="1" s="1"/>
  <c r="J9" i="1"/>
  <c r="L72" i="1" l="1"/>
  <c r="K30" i="1"/>
  <c r="L59" i="1"/>
  <c r="G55" i="3"/>
  <c r="G58" i="3"/>
  <c r="E52" i="3"/>
  <c r="G51" i="3"/>
  <c r="G44" i="3"/>
  <c r="G52" i="3"/>
  <c r="E56" i="3"/>
  <c r="E50" i="3"/>
  <c r="G48" i="3"/>
  <c r="E55" i="3"/>
  <c r="E49" i="3"/>
  <c r="G49" i="3"/>
  <c r="L10" i="1"/>
  <c r="L40" i="1"/>
  <c r="L30" i="1"/>
  <c r="L82" i="1"/>
  <c r="L91" i="1" s="1"/>
  <c r="I67" i="3"/>
  <c r="I73" i="3" s="1"/>
  <c r="D73" i="3"/>
  <c r="G38" i="3"/>
  <c r="J12" i="1"/>
  <c r="H55" i="3" l="1"/>
  <c r="H49" i="3"/>
  <c r="H52" i="3"/>
  <c r="G74" i="3"/>
  <c r="K10" i="1"/>
  <c r="E58" i="3"/>
  <c r="H58" i="3" s="1"/>
  <c r="G50" i="3"/>
  <c r="H50" i="3" s="1"/>
  <c r="G47" i="3"/>
  <c r="E46" i="3"/>
  <c r="G57" i="3"/>
  <c r="E57" i="3"/>
  <c r="E44" i="3"/>
  <c r="H44" i="3" s="1"/>
  <c r="E51" i="3"/>
  <c r="H51" i="3" s="1"/>
  <c r="E45" i="3"/>
  <c r="E47" i="3"/>
  <c r="G60" i="3"/>
  <c r="G45" i="3"/>
  <c r="E59" i="3"/>
  <c r="E53" i="3"/>
  <c r="G56" i="3"/>
  <c r="H56" i="3" s="1"/>
  <c r="G54" i="3"/>
  <c r="E48" i="3"/>
  <c r="H48" i="3" s="1"/>
  <c r="G59" i="3"/>
  <c r="E60" i="3"/>
  <c r="E54" i="3"/>
  <c r="G46" i="3"/>
  <c r="G53" i="3"/>
  <c r="D74" i="3"/>
  <c r="F80" i="3"/>
  <c r="I74" i="3"/>
  <c r="F79" i="3"/>
  <c r="F74" i="3"/>
  <c r="F82" i="3"/>
  <c r="F81" i="3"/>
  <c r="E74" i="3"/>
  <c r="H74" i="3"/>
  <c r="K4" i="1"/>
  <c r="K7" i="1"/>
  <c r="K11" i="1"/>
  <c r="K5" i="1"/>
  <c r="K6" i="1"/>
  <c r="K9" i="1"/>
  <c r="K8" i="1"/>
  <c r="I88" i="1"/>
  <c r="H45" i="3" l="1"/>
  <c r="H57" i="3"/>
  <c r="H59" i="3"/>
  <c r="H60" i="3"/>
  <c r="H53" i="3"/>
  <c r="H54" i="3"/>
  <c r="H46" i="3"/>
  <c r="H47" i="3"/>
  <c r="G61" i="3"/>
  <c r="E61" i="3"/>
  <c r="F83" i="3"/>
  <c r="K12" i="1"/>
  <c r="H59" i="1"/>
  <c r="F8" i="1" s="1"/>
  <c r="G59" i="1"/>
  <c r="D8" i="1" s="1"/>
  <c r="I89" i="1"/>
  <c r="I35" i="1"/>
  <c r="I70" i="1"/>
  <c r="H91" i="1"/>
  <c r="F11" i="1" s="1"/>
  <c r="G91" i="1"/>
  <c r="I90" i="1"/>
  <c r="I87" i="1"/>
  <c r="H82" i="1"/>
  <c r="F10" i="1" s="1"/>
  <c r="G82" i="1"/>
  <c r="I81" i="1"/>
  <c r="I80" i="1"/>
  <c r="I79" i="1"/>
  <c r="I78" i="1"/>
  <c r="I77" i="1"/>
  <c r="F9" i="1"/>
  <c r="I71" i="1"/>
  <c r="I69" i="1"/>
  <c r="I68" i="1"/>
  <c r="I67" i="1"/>
  <c r="I66" i="1"/>
  <c r="I64" i="1"/>
  <c r="I65" i="1"/>
  <c r="I58" i="1"/>
  <c r="I57" i="1"/>
  <c r="I56" i="1"/>
  <c r="I55" i="1"/>
  <c r="I54" i="1"/>
  <c r="I53" i="1"/>
  <c r="H48" i="1"/>
  <c r="G48" i="1"/>
  <c r="I47" i="1"/>
  <c r="I45" i="1"/>
  <c r="I38" i="1"/>
  <c r="I39" i="1"/>
  <c r="I37" i="1"/>
  <c r="I29" i="1"/>
  <c r="I28" i="1"/>
  <c r="I27" i="1"/>
  <c r="I24" i="1"/>
  <c r="I25" i="1"/>
  <c r="I26" i="1"/>
  <c r="H40" i="1"/>
  <c r="F6" i="1" s="1"/>
  <c r="G40" i="1"/>
  <c r="I36" i="1"/>
  <c r="H18" i="1"/>
  <c r="F4" i="1" s="1"/>
  <c r="G18" i="1"/>
  <c r="I16" i="1"/>
  <c r="I18" i="1" s="1"/>
  <c r="I23" i="1"/>
  <c r="H30" i="1"/>
  <c r="G30" i="1"/>
  <c r="I72" i="1" l="1"/>
  <c r="F5" i="1"/>
  <c r="F7" i="1"/>
  <c r="F12" i="1" s="1"/>
  <c r="I59" i="1"/>
  <c r="I60" i="1"/>
  <c r="I91" i="1"/>
  <c r="I92" i="1"/>
  <c r="I73" i="1"/>
  <c r="I19" i="1"/>
  <c r="I83" i="1"/>
  <c r="D9" i="1"/>
  <c r="H9" i="1" s="1"/>
  <c r="I31" i="1"/>
  <c r="D10" i="1"/>
  <c r="H10" i="1" s="1"/>
  <c r="I49" i="1"/>
  <c r="I41" i="1"/>
  <c r="D11" i="1"/>
  <c r="H11" i="1" s="1"/>
  <c r="H8" i="1"/>
  <c r="D4" i="1"/>
  <c r="H4" i="1" s="1"/>
  <c r="I82" i="1"/>
  <c r="D7" i="1"/>
  <c r="D6" i="1"/>
  <c r="H6" i="1" s="1"/>
  <c r="I48" i="1"/>
  <c r="I40" i="1"/>
  <c r="I30" i="1"/>
  <c r="D5" i="1"/>
  <c r="H7" i="1" l="1"/>
  <c r="H5" i="1"/>
  <c r="G11" i="1"/>
  <c r="G7" i="1"/>
  <c r="G8" i="1"/>
  <c r="G9" i="1"/>
  <c r="G10" i="1"/>
  <c r="G4" i="1"/>
  <c r="G6" i="1"/>
  <c r="G5" i="1"/>
  <c r="D12" i="1"/>
  <c r="G12" i="1" l="1"/>
  <c r="E10" i="1"/>
  <c r="I10" i="1" s="1"/>
  <c r="E5" i="1"/>
  <c r="I5" i="1" s="1"/>
  <c r="E11" i="1"/>
  <c r="I11" i="1" s="1"/>
  <c r="E6" i="1"/>
  <c r="I6" i="1" s="1"/>
  <c r="E4" i="1"/>
  <c r="I4" i="1" s="1"/>
  <c r="E7" i="1"/>
  <c r="I7" i="1" s="1"/>
  <c r="E8" i="1"/>
  <c r="I8" i="1" s="1"/>
  <c r="E9" i="1"/>
  <c r="I9" i="1" s="1"/>
  <c r="E12" i="1"/>
  <c r="H12" i="1" l="1"/>
  <c r="I12" i="1" l="1"/>
  <c r="I6" i="3"/>
  <c r="I14" i="3" s="1"/>
  <c r="F14" i="3" l="1"/>
  <c r="L5" i="1" l="1"/>
  <c r="L7" i="1" l="1"/>
  <c r="L12" i="1" s="1"/>
  <c r="M6" i="1" l="1"/>
  <c r="N6" i="1" s="1"/>
  <c r="I75" i="3"/>
  <c r="M11" i="1"/>
  <c r="N11" i="1" s="1"/>
  <c r="M5" i="1"/>
  <c r="N5" i="1" s="1"/>
  <c r="M4" i="1"/>
  <c r="M8" i="1"/>
  <c r="N8" i="1" s="1"/>
  <c r="M9" i="1"/>
  <c r="N9" i="1" s="1"/>
  <c r="M10" i="1"/>
  <c r="N10" i="1" s="1"/>
  <c r="M7" i="1"/>
  <c r="N7" i="1" s="1"/>
  <c r="N4" i="1" l="1"/>
  <c r="N12" i="1" s="1"/>
  <c r="M12" i="1"/>
  <c r="H14" i="3" l="1"/>
  <c r="E38" i="3" l="1"/>
  <c r="H32" i="3"/>
  <c r="H38" i="3" s="1"/>
  <c r="F39" i="3" s="1"/>
  <c r="D38" i="3"/>
  <c r="D39" i="3" l="1"/>
  <c r="E39" i="3"/>
  <c r="G39" i="3"/>
  <c r="H39" i="3"/>
  <c r="L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tPierce</author>
  </authors>
  <commentList>
    <comment ref="D29" authorId="0" shapeId="0" xr:uid="{DF1233AA-3ECF-0A43-A2E8-CF0D1C8CA8EE}">
      <text>
        <r>
          <rPr>
            <b/>
            <sz val="10"/>
            <color rgb="FF000000"/>
            <rFont val="Tahoma"/>
            <family val="2"/>
          </rPr>
          <t>tPierce: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New applications may be existing programming applying to the funding stream for the first time</t>
        </r>
      </text>
    </comment>
  </commentList>
</comments>
</file>

<file path=xl/sharedStrings.xml><?xml version="1.0" encoding="utf-8"?>
<sst xmlns="http://schemas.openxmlformats.org/spreadsheetml/2006/main" count="393" uniqueCount="164">
  <si>
    <t>Agency Name</t>
  </si>
  <si>
    <t>Project Name</t>
  </si>
  <si>
    <t>RFP Type</t>
  </si>
  <si>
    <t>Difference</t>
  </si>
  <si>
    <t>Total Rapid ReHousing</t>
  </si>
  <si>
    <t>Rapid ReHousing</t>
  </si>
  <si>
    <t>Percent of Total</t>
  </si>
  <si>
    <t>Emergency Shelter</t>
  </si>
  <si>
    <t>COTS</t>
  </si>
  <si>
    <t>Note</t>
  </si>
  <si>
    <t>FY 23-24 Requested</t>
  </si>
  <si>
    <t>Street Outreach</t>
  </si>
  <si>
    <t>New</t>
  </si>
  <si>
    <t xml:space="preserve"> </t>
  </si>
  <si>
    <t>Total Emergency Shelter</t>
  </si>
  <si>
    <t>Total Street Outreach</t>
  </si>
  <si>
    <t>Funding Recommendation Total</t>
  </si>
  <si>
    <t>Catholic Charities</t>
  </si>
  <si>
    <t>Ongoing</t>
  </si>
  <si>
    <t>Sam Jones Hall</t>
  </si>
  <si>
    <t>Coordinated Entry</t>
  </si>
  <si>
    <t>Homeless Prevention</t>
  </si>
  <si>
    <t>Non Congregate Shelter</t>
  </si>
  <si>
    <t>Permanent Supportive Housing</t>
  </si>
  <si>
    <t>Family Support Center</t>
  </si>
  <si>
    <t>Community Action Partnership</t>
  </si>
  <si>
    <t>Sloan House</t>
  </si>
  <si>
    <t>Mary Isaak Center</t>
  </si>
  <si>
    <t>Social Advocates for Youth</t>
  </si>
  <si>
    <t>Dream Center and ES Winter Shelter</t>
  </si>
  <si>
    <t>West County Community Services</t>
  </si>
  <si>
    <t>West County Navigation Center</t>
  </si>
  <si>
    <t>YWCA Sonoma County</t>
  </si>
  <si>
    <t>Subpop Applicability</t>
  </si>
  <si>
    <t>Households &gt;1</t>
  </si>
  <si>
    <t>Single Individuals</t>
  </si>
  <si>
    <t>Women's Shelter</t>
  </si>
  <si>
    <t>Transitional Aged Youth</t>
  </si>
  <si>
    <t>Women's DV Shelter</t>
  </si>
  <si>
    <t>YWCA Safe House</t>
  </si>
  <si>
    <t>Emergency Shelters</t>
  </si>
  <si>
    <t>HomeFirst</t>
  </si>
  <si>
    <t>Sonoma County Coordinated Entry</t>
  </si>
  <si>
    <t>Sonoma County Homeless Prevention</t>
  </si>
  <si>
    <t>SAY TAY Homeless Prevention (YOUTH)</t>
  </si>
  <si>
    <t>The Living Room</t>
  </si>
  <si>
    <t>TLR Homeless Prevention RE?</t>
  </si>
  <si>
    <t>WCCS Homeless Prevention</t>
  </si>
  <si>
    <t>Non-Congregate Shelter</t>
  </si>
  <si>
    <t>n/a</t>
  </si>
  <si>
    <t>Labath Landing</t>
  </si>
  <si>
    <t>Sonoma Applied Village Services</t>
  </si>
  <si>
    <t>Horizon Shine</t>
  </si>
  <si>
    <t>PSH Alternatives</t>
  </si>
  <si>
    <t>Community Support Network</t>
  </si>
  <si>
    <t>CSN PSH - Housing First (Stony Point)</t>
  </si>
  <si>
    <t>Reach for Home</t>
  </si>
  <si>
    <t>RFH Permanent Supportive Housing</t>
  </si>
  <si>
    <t>Community Shared Housing Program</t>
  </si>
  <si>
    <t>SHARE Sonoma County</t>
  </si>
  <si>
    <t>West County Commuinty Services</t>
  </si>
  <si>
    <t>Meeting Their Needs</t>
  </si>
  <si>
    <t>Rapid Re-Housing</t>
  </si>
  <si>
    <t>COTS Rapid Re-Housing</t>
  </si>
  <si>
    <t>Interfaith Shelter Network</t>
  </si>
  <si>
    <t>IFSN Rapid ReHousing</t>
  </si>
  <si>
    <t>RFH Rapid Re-Housing</t>
  </si>
  <si>
    <t>SHARE Rapid Re-Housing</t>
  </si>
  <si>
    <t>TAY</t>
  </si>
  <si>
    <t>SAY Rapid Re-Housing (YOUTH)</t>
  </si>
  <si>
    <t>WCCS Rapid Re-Housing</t>
  </si>
  <si>
    <t>All Households</t>
  </si>
  <si>
    <t>Homeless Outreach Services Team</t>
  </si>
  <si>
    <t>City of Petaluma</t>
  </si>
  <si>
    <t>Mental Heealth Subpop</t>
  </si>
  <si>
    <t>Enhanced Mental Health and Outreach</t>
  </si>
  <si>
    <t>SAY Street Outreach (YOUTH)</t>
  </si>
  <si>
    <t>RFH Street Outreach</t>
  </si>
  <si>
    <t>SAVS Outreach Personel and System Info</t>
  </si>
  <si>
    <t>-Other Projects</t>
  </si>
  <si>
    <t>Other Project Types</t>
  </si>
  <si>
    <t>Homeless Services Center</t>
  </si>
  <si>
    <t>Adults 62+ Focus</t>
  </si>
  <si>
    <t>Home Share Program</t>
  </si>
  <si>
    <t>Seniors 62+</t>
  </si>
  <si>
    <t>Check App/APR</t>
  </si>
  <si>
    <t>Year Over Year Difference in Percent Project Types Proposed</t>
  </si>
  <si>
    <t>Homeless Project Type (HMIS Definitions)</t>
  </si>
  <si>
    <t>Ask MG</t>
  </si>
  <si>
    <t>Year Over Year Difference Dollars Project Types Proposed</t>
  </si>
  <si>
    <t>TLC</t>
  </si>
  <si>
    <t>TLC RAY Rapid Re-Housing</t>
  </si>
  <si>
    <t>Season of Sharing Homeless Prevention</t>
  </si>
  <si>
    <t>Percent Difference in Funding Requests</t>
  </si>
  <si>
    <t>All Adult Households</t>
  </si>
  <si>
    <t>Single Adults</t>
  </si>
  <si>
    <t>George's Highway Capital</t>
  </si>
  <si>
    <t>Palms Inn</t>
  </si>
  <si>
    <t>City of Santa Rosa</t>
  </si>
  <si>
    <t>Sam Jones Capital</t>
  </si>
  <si>
    <t>Homeless Services Team Recommended</t>
  </si>
  <si>
    <t>By Project Type Percent</t>
  </si>
  <si>
    <t>Households +1 Women</t>
  </si>
  <si>
    <t>Households +1</t>
  </si>
  <si>
    <t>Household Type Analysis</t>
  </si>
  <si>
    <t>Total</t>
  </si>
  <si>
    <t>Mixed Households</t>
  </si>
  <si>
    <t>Santa Rosa</t>
  </si>
  <si>
    <t>North County</t>
  </si>
  <si>
    <t>Sonoma Valley</t>
  </si>
  <si>
    <t>West County</t>
  </si>
  <si>
    <t>Note:</t>
  </si>
  <si>
    <t>Domestic Violence</t>
  </si>
  <si>
    <t>Amt Applied For</t>
  </si>
  <si>
    <t>Women's Services</t>
  </si>
  <si>
    <t>Mature Persons</t>
  </si>
  <si>
    <t>Ongoing Contracts</t>
  </si>
  <si>
    <t>Total Projects:</t>
  </si>
  <si>
    <t>System Shifts</t>
  </si>
  <si>
    <t>Difference to Request</t>
  </si>
  <si>
    <t>Homeless Action Sonoma</t>
  </si>
  <si>
    <t>Home and Safe Center</t>
  </si>
  <si>
    <t>HST 
Recommended</t>
  </si>
  <si>
    <t>TLC Child and Family</t>
  </si>
  <si>
    <t>Applied For</t>
  </si>
  <si>
    <t>Amt Funded</t>
  </si>
  <si>
    <t>Funded</t>
  </si>
  <si>
    <t>Percent Total</t>
  </si>
  <si>
    <t>Geographic Equity (presumed funded)</t>
  </si>
  <si>
    <t>Petaluma/RP</t>
  </si>
  <si>
    <t>Subpop Analysis (other)</t>
  </si>
  <si>
    <t>FY 22-23 Funding</t>
  </si>
  <si>
    <t>Percent Difference 22-23 Funding to 23-24 Request</t>
  </si>
  <si>
    <t>Applied For and Funded by Agency</t>
  </si>
  <si>
    <t>Note: because of rfp language this may not be a good chart (still under development)</t>
  </si>
  <si>
    <t>Ongoing Funded</t>
  </si>
  <si>
    <t>New Applications</t>
  </si>
  <si>
    <t>Application Status by Project</t>
  </si>
  <si>
    <t>Special Pops</t>
  </si>
  <si>
    <t>Project Type Totals 
23-24
Requested</t>
  </si>
  <si>
    <t>Project Type Totals 22-23 Contract</t>
  </si>
  <si>
    <t>Total 23-24 Recommended Amounts by CoC</t>
  </si>
  <si>
    <t>Percent CH Served</t>
  </si>
  <si>
    <t>Mixed</t>
  </si>
  <si>
    <t>Applications with Strong Declaration for Enhance Case Management</t>
  </si>
  <si>
    <t>Percent</t>
  </si>
  <si>
    <t>Number with most boxes checked on Goal 2 (Enhanced Csae Mgmt)</t>
  </si>
  <si>
    <t>Percent of Total Funded Amount</t>
  </si>
  <si>
    <t>Total  No-Congregate Shelter</t>
  </si>
  <si>
    <t>Total Perm Supportive Housing</t>
  </si>
  <si>
    <t>Total Other Project Types</t>
  </si>
  <si>
    <t>Total Coordinated Entry</t>
  </si>
  <si>
    <t>Total Homeless Prevention</t>
  </si>
  <si>
    <t>Sonoma Continuum of Care  CA-504
FY 2023-24 NOFA Recommendation Summary</t>
  </si>
  <si>
    <t>Other Projects</t>
  </si>
  <si>
    <t>Applications by Household Type (estimated by earlier program knowledge)</t>
  </si>
  <si>
    <t>New Projects Funded</t>
  </si>
  <si>
    <t>Note: the term new projects needs to be distinguished between newly operating or new to funding request</t>
  </si>
  <si>
    <t>Difference Applied to Funded</t>
  </si>
  <si>
    <r>
      <t xml:space="preserve">Geographic equity estimates  are distributed based on tPierce knowledge of where projects might be serving clients </t>
    </r>
    <r>
      <rPr>
        <u/>
        <sz val="10"/>
        <color theme="1"/>
        <rFont val="Calibri (Body)"/>
      </rPr>
      <t>or the</t>
    </r>
    <r>
      <rPr>
        <sz val="10"/>
        <color theme="1"/>
        <rFont val="Calibri"/>
        <family val="2"/>
        <scheme val="minor"/>
      </rPr>
      <t xml:space="preserve"> agency's administrative address</t>
    </r>
  </si>
  <si>
    <t>Final CoC Recommended</t>
  </si>
  <si>
    <r>
      <rPr>
        <b/>
        <sz val="10"/>
        <color theme="9" tint="-0.249977111117893"/>
        <rFont val="Calibri (Body)"/>
      </rPr>
      <t>Shaded green cell</t>
    </r>
    <r>
      <rPr>
        <b/>
        <sz val="10"/>
        <color theme="9" tint="-0.249977111117893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 in Col. K were the final recommendation made by F/E - June 8, 2023 for five projects
Projects indicated as 'New' may be new to the application process, but may have been in operation
HST reference indicates - Homeless Services Team
Figures </t>
    </r>
    <r>
      <rPr>
        <u/>
        <sz val="10"/>
        <color theme="1"/>
        <rFont val="Calibri (Body)"/>
      </rPr>
      <t>do not</t>
    </r>
    <r>
      <rPr>
        <sz val="10"/>
        <color theme="1"/>
        <rFont val="Calibri"/>
        <family val="2"/>
        <scheme val="minor"/>
      </rPr>
      <t xml:space="preserve"> include additional funding streams such as Measure O or ARPA</t>
    </r>
  </si>
  <si>
    <t>Total 23-24 Recommdations 
Percent</t>
  </si>
  <si>
    <t>FY 22-23 tp FY 23-24 Percent Change in Project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</si>
</sst>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0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theme="1"/>
      <name val="Calibri (Body)"/>
    </font>
    <font>
      <b/>
      <sz val="10"/>
      <color theme="9" tint="-0.249977111117893"/>
      <name val="Calibri (Body)"/>
    </font>
    <font>
      <b/>
      <sz val="10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164" fontId="0" fillId="0" borderId="0" xfId="1" applyNumberFormat="1" applyFont="1"/>
    <xf numFmtId="9" fontId="0" fillId="0" borderId="0" xfId="2" applyFont="1"/>
    <xf numFmtId="0" fontId="0" fillId="0" borderId="0" xfId="0" applyAlignment="1">
      <alignment horizontal="right"/>
    </xf>
    <xf numFmtId="9" fontId="0" fillId="0" borderId="0" xfId="2" applyFont="1" applyBorder="1" applyAlignment="1">
      <alignment horizontal="center"/>
    </xf>
    <xf numFmtId="164" fontId="0" fillId="0" borderId="0" xfId="1" applyNumberFormat="1" applyFont="1" applyBorder="1"/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5" xfId="0" applyBorder="1"/>
    <xf numFmtId="164" fontId="0" fillId="0" borderId="7" xfId="0" applyNumberFormat="1" applyBorder="1"/>
    <xf numFmtId="0" fontId="0" fillId="3" borderId="1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164" fontId="0" fillId="0" borderId="0" xfId="0" applyNumberFormat="1"/>
    <xf numFmtId="9" fontId="0" fillId="0" borderId="19" xfId="2" applyFont="1" applyBorder="1" applyAlignment="1">
      <alignment horizontal="center"/>
    </xf>
    <xf numFmtId="9" fontId="0" fillId="0" borderId="20" xfId="2" applyFont="1" applyBorder="1" applyAlignment="1">
      <alignment horizontal="center"/>
    </xf>
    <xf numFmtId="9" fontId="0" fillId="0" borderId="21" xfId="2" applyFont="1" applyBorder="1" applyAlignment="1">
      <alignment horizontal="center"/>
    </xf>
    <xf numFmtId="9" fontId="0" fillId="0" borderId="13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0" fontId="0" fillId="0" borderId="6" xfId="0" quotePrefix="1" applyBorder="1"/>
    <xf numFmtId="9" fontId="0" fillId="0" borderId="15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164" fontId="0" fillId="0" borderId="17" xfId="0" applyNumberFormat="1" applyBorder="1"/>
    <xf numFmtId="165" fontId="0" fillId="0" borderId="0" xfId="2" applyNumberFormat="1" applyFont="1"/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9" fontId="0" fillId="0" borderId="17" xfId="2" applyFont="1" applyBorder="1" applyAlignment="1">
      <alignment horizontal="center"/>
    </xf>
    <xf numFmtId="164" fontId="0" fillId="0" borderId="17" xfId="1" applyNumberFormat="1" applyFont="1" applyBorder="1"/>
    <xf numFmtId="0" fontId="0" fillId="0" borderId="19" xfId="0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164" fontId="0" fillId="0" borderId="5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4" borderId="11" xfId="0" applyFont="1" applyFill="1" applyBorder="1" applyAlignment="1">
      <alignment horizontal="center" vertical="top" wrapText="1"/>
    </xf>
    <xf numFmtId="0" fontId="0" fillId="0" borderId="19" xfId="0" applyBorder="1"/>
    <xf numFmtId="0" fontId="0" fillId="0" borderId="7" xfId="0" quotePrefix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/>
    <xf numFmtId="0" fontId="0" fillId="3" borderId="17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7" xfId="2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21" xfId="1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5" xfId="1" applyNumberFormat="1" applyFont="1" applyBorder="1"/>
    <xf numFmtId="164" fontId="0" fillId="0" borderId="19" xfId="1" applyNumberFormat="1" applyFont="1" applyBorder="1"/>
    <xf numFmtId="9" fontId="0" fillId="0" borderId="20" xfId="2" applyFont="1" applyBorder="1"/>
    <xf numFmtId="9" fontId="0" fillId="0" borderId="14" xfId="2" applyFont="1" applyBorder="1"/>
    <xf numFmtId="10" fontId="0" fillId="0" borderId="2" xfId="2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164" fontId="0" fillId="0" borderId="15" xfId="1" applyNumberFormat="1" applyFont="1" applyBorder="1"/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24" xfId="1" applyNumberFormat="1" applyFont="1" applyBorder="1" applyProtection="1">
      <protection locked="0"/>
    </xf>
    <xf numFmtId="164" fontId="0" fillId="0" borderId="4" xfId="1" applyNumberFormat="1" applyFont="1" applyFill="1" applyBorder="1" applyProtection="1">
      <protection locked="0"/>
    </xf>
    <xf numFmtId="164" fontId="0" fillId="6" borderId="4" xfId="1" applyNumberFormat="1" applyFont="1" applyFill="1" applyBorder="1" applyProtection="1"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164" fontId="0" fillId="0" borderId="0" xfId="1" applyNumberFormat="1" applyFont="1" applyFill="1" applyBorder="1" applyProtection="1">
      <protection locked="0"/>
    </xf>
    <xf numFmtId="164" fontId="0" fillId="0" borderId="22" xfId="1" applyNumberFormat="1" applyFont="1" applyBorder="1" applyProtection="1">
      <protection locked="0"/>
    </xf>
    <xf numFmtId="164" fontId="0" fillId="0" borderId="12" xfId="1" applyNumberFormat="1" applyFont="1" applyBorder="1" applyProtection="1">
      <protection locked="0"/>
    </xf>
    <xf numFmtId="164" fontId="0" fillId="0" borderId="25" xfId="1" applyNumberFormat="1" applyFont="1" applyBorder="1" applyProtection="1">
      <protection locked="0"/>
    </xf>
    <xf numFmtId="164" fontId="0" fillId="0" borderId="20" xfId="1" applyNumberFormat="1" applyFont="1" applyBorder="1"/>
    <xf numFmtId="164" fontId="0" fillId="6" borderId="26" xfId="1" applyNumberFormat="1" applyFont="1" applyFill="1" applyBorder="1" applyProtection="1">
      <protection locked="0"/>
    </xf>
    <xf numFmtId="164" fontId="0" fillId="0" borderId="27" xfId="1" applyNumberFormat="1" applyFont="1" applyBorder="1" applyProtection="1">
      <protection locked="0"/>
    </xf>
    <xf numFmtId="0" fontId="3" fillId="6" borderId="17" xfId="0" applyFont="1" applyFill="1" applyBorder="1" applyAlignment="1">
      <alignment horizontal="center" vertical="top" wrapText="1"/>
    </xf>
    <xf numFmtId="164" fontId="0" fillId="0" borderId="0" xfId="1" applyNumberFormat="1" applyFont="1" applyFill="1" applyBorder="1"/>
    <xf numFmtId="9" fontId="0" fillId="0" borderId="3" xfId="2" applyFont="1" applyBorder="1" applyAlignment="1">
      <alignment horizontal="center"/>
    </xf>
    <xf numFmtId="0" fontId="3" fillId="7" borderId="1" xfId="0" applyFont="1" applyFill="1" applyBorder="1" applyAlignment="1">
      <alignment horizontal="center" vertical="top" wrapText="1"/>
    </xf>
    <xf numFmtId="164" fontId="0" fillId="0" borderId="6" xfId="1" applyNumberFormat="1" applyFont="1" applyBorder="1"/>
    <xf numFmtId="164" fontId="0" fillId="0" borderId="7" xfId="1" applyNumberFormat="1" applyFont="1" applyBorder="1"/>
    <xf numFmtId="9" fontId="0" fillId="0" borderId="23" xfId="2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164" fontId="0" fillId="0" borderId="3" xfId="0" applyNumberFormat="1" applyBorder="1"/>
    <xf numFmtId="0" fontId="3" fillId="7" borderId="8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164" fontId="0" fillId="0" borderId="1" xfId="1" applyNumberFormat="1" applyFont="1" applyBorder="1"/>
    <xf numFmtId="9" fontId="0" fillId="0" borderId="3" xfId="2" applyFont="1" applyBorder="1"/>
    <xf numFmtId="9" fontId="0" fillId="0" borderId="12" xfId="2" applyFont="1" applyBorder="1" applyProtection="1">
      <protection locked="0"/>
    </xf>
    <xf numFmtId="9" fontId="0" fillId="0" borderId="25" xfId="2" applyFont="1" applyBorder="1" applyProtection="1">
      <protection locked="0"/>
    </xf>
    <xf numFmtId="9" fontId="0" fillId="0" borderId="27" xfId="2" applyFont="1" applyBorder="1" applyProtection="1">
      <protection locked="0"/>
    </xf>
    <xf numFmtId="0" fontId="0" fillId="3" borderId="11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5" borderId="0" xfId="0" applyFill="1"/>
    <xf numFmtId="164" fontId="0" fillId="0" borderId="19" xfId="1" applyNumberFormat="1" applyFont="1" applyBorder="1" applyAlignment="1">
      <alignment horizontal="left"/>
    </xf>
    <xf numFmtId="164" fontId="0" fillId="0" borderId="19" xfId="1" applyNumberFormat="1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4" xfId="0" applyBorder="1" applyProtection="1">
      <protection locked="0"/>
    </xf>
    <xf numFmtId="164" fontId="0" fillId="0" borderId="19" xfId="1" applyNumberFormat="1" applyFont="1" applyFill="1" applyBorder="1" applyProtection="1">
      <protection locked="0"/>
    </xf>
    <xf numFmtId="164" fontId="0" fillId="0" borderId="28" xfId="1" applyNumberFormat="1" applyFont="1" applyBorder="1" applyProtection="1">
      <protection locked="0"/>
    </xf>
    <xf numFmtId="164" fontId="0" fillId="0" borderId="20" xfId="1" applyNumberFormat="1" applyFont="1" applyFill="1" applyBorder="1" applyProtection="1">
      <protection locked="0"/>
    </xf>
    <xf numFmtId="164" fontId="0" fillId="0" borderId="29" xfId="1" applyNumberFormat="1" applyFont="1" applyBorder="1" applyProtection="1">
      <protection locked="0"/>
    </xf>
    <xf numFmtId="164" fontId="0" fillId="0" borderId="20" xfId="1" applyNumberFormat="1" applyFont="1" applyBorder="1" applyProtection="1">
      <protection locked="0"/>
    </xf>
    <xf numFmtId="0" fontId="0" fillId="5" borderId="20" xfId="0" applyFill="1" applyBorder="1"/>
    <xf numFmtId="164" fontId="0" fillId="0" borderId="20" xfId="1" applyNumberFormat="1" applyFont="1" applyFill="1" applyBorder="1"/>
    <xf numFmtId="9" fontId="0" fillId="0" borderId="21" xfId="2" applyFont="1" applyBorder="1" applyProtection="1">
      <protection locked="0"/>
    </xf>
    <xf numFmtId="9" fontId="0" fillId="0" borderId="13" xfId="2" applyFont="1" applyBorder="1" applyProtection="1">
      <protection locked="0"/>
    </xf>
    <xf numFmtId="164" fontId="0" fillId="6" borderId="20" xfId="1" applyNumberFormat="1" applyFont="1" applyFill="1" applyBorder="1" applyProtection="1">
      <protection locked="0"/>
    </xf>
    <xf numFmtId="9" fontId="0" fillId="0" borderId="14" xfId="2" applyFont="1" applyBorder="1" applyProtection="1">
      <protection locked="0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9" fontId="0" fillId="3" borderId="1" xfId="2" applyFont="1" applyFill="1" applyBorder="1" applyAlignment="1">
      <alignment horizontal="center"/>
    </xf>
    <xf numFmtId="9" fontId="0" fillId="3" borderId="2" xfId="2" applyFont="1" applyFill="1" applyBorder="1" applyAlignment="1">
      <alignment horizontal="center"/>
    </xf>
    <xf numFmtId="9" fontId="0" fillId="3" borderId="3" xfId="2" applyFont="1" applyFill="1" applyBorder="1" applyAlignment="1">
      <alignment horizontal="center"/>
    </xf>
    <xf numFmtId="0" fontId="0" fillId="0" borderId="15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textRotation="45"/>
    </xf>
    <xf numFmtId="0" fontId="2" fillId="2" borderId="6" xfId="0" applyFont="1" applyFill="1" applyBorder="1" applyAlignment="1">
      <alignment horizontal="center" vertical="center" textRotation="45"/>
    </xf>
    <xf numFmtId="0" fontId="2" fillId="2" borderId="7" xfId="0" applyFont="1" applyFill="1" applyBorder="1" applyAlignment="1">
      <alignment horizontal="center" vertical="center" textRotation="45"/>
    </xf>
    <xf numFmtId="0" fontId="2" fillId="2" borderId="5" xfId="0" applyFont="1" applyFill="1" applyBorder="1" applyAlignment="1">
      <alignment horizontal="center" textRotation="45"/>
    </xf>
    <xf numFmtId="0" fontId="2" fillId="2" borderId="6" xfId="0" applyFont="1" applyFill="1" applyBorder="1" applyAlignment="1">
      <alignment horizontal="center" textRotation="45"/>
    </xf>
    <xf numFmtId="0" fontId="2" fillId="2" borderId="7" xfId="0" applyFont="1" applyFill="1" applyBorder="1" applyAlignment="1">
      <alignment horizontal="center" textRotation="45"/>
    </xf>
    <xf numFmtId="0" fontId="0" fillId="0" borderId="1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2" xfId="0" applyFont="1" applyFill="1" applyBorder="1" applyAlignment="1">
      <alignment horizontal="center" vertical="center" textRotation="45"/>
    </xf>
    <xf numFmtId="0" fontId="2" fillId="2" borderId="3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textRotation="45"/>
    </xf>
    <xf numFmtId="0" fontId="2" fillId="2" borderId="3" xfId="0" applyFont="1" applyFill="1" applyBorder="1" applyAlignment="1">
      <alignment horizontal="center" textRotation="45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00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52DE-F4F1-2D4F-96AB-2A6AB7AF7FD2}">
  <sheetPr>
    <pageSetUpPr fitToPage="1"/>
  </sheetPr>
  <dimension ref="A1:N93"/>
  <sheetViews>
    <sheetView tabSelected="1" zoomScaleNormal="100" workbookViewId="0">
      <pane ySplit="11" topLeftCell="A12" activePane="bottomLeft" state="frozen"/>
      <selection pane="bottomLeft" sqref="A1:C1"/>
    </sheetView>
  </sheetViews>
  <sheetFormatPr defaultColWidth="11.19921875" defaultRowHeight="13"/>
  <cols>
    <col min="1" max="1" width="1.59765625" customWidth="1"/>
    <col min="2" max="2" width="18.19921875" customWidth="1"/>
    <col min="3" max="3" width="25.796875" customWidth="1"/>
    <col min="4" max="4" width="13.796875" customWidth="1"/>
    <col min="5" max="5" width="15.19921875" customWidth="1"/>
    <col min="6" max="6" width="14.59765625" customWidth="1"/>
    <col min="7" max="7" width="13.59765625" customWidth="1"/>
    <col min="8" max="8" width="14.3984375" customWidth="1"/>
    <col min="9" max="9" width="13.796875" customWidth="1"/>
    <col min="10" max="10" width="14.19921875" customWidth="1"/>
    <col min="11" max="11" width="13.59765625" customWidth="1"/>
    <col min="12" max="12" width="14.3984375" customWidth="1"/>
    <col min="13" max="13" width="13.3984375" bestFit="1" customWidth="1"/>
    <col min="14" max="14" width="12.3984375" customWidth="1"/>
  </cols>
  <sheetData>
    <row r="1" spans="1:14" ht="56" customHeight="1" thickBot="1">
      <c r="A1" s="155" t="s">
        <v>153</v>
      </c>
      <c r="B1" s="156"/>
      <c r="C1" s="157"/>
      <c r="E1" s="146" t="s">
        <v>161</v>
      </c>
      <c r="F1" s="147"/>
      <c r="G1" s="147"/>
      <c r="H1" s="147"/>
      <c r="I1" s="147"/>
      <c r="J1" s="147"/>
      <c r="K1" s="147"/>
      <c r="L1" s="147"/>
      <c r="M1" s="148"/>
    </row>
    <row r="2" spans="1:14" ht="14" customHeight="1" thickBot="1">
      <c r="A2" s="30"/>
      <c r="B2" s="31"/>
      <c r="C2" s="31"/>
      <c r="E2" s="32"/>
      <c r="F2" s="32"/>
      <c r="G2" s="32"/>
      <c r="H2" s="30"/>
    </row>
    <row r="3" spans="1:14" ht="60.5" thickBot="1">
      <c r="C3" s="27" t="s">
        <v>87</v>
      </c>
      <c r="D3" s="109" t="s">
        <v>140</v>
      </c>
      <c r="E3" s="110" t="s">
        <v>6</v>
      </c>
      <c r="F3" s="111" t="s">
        <v>139</v>
      </c>
      <c r="G3" s="111" t="s">
        <v>6</v>
      </c>
      <c r="H3" s="111" t="s">
        <v>89</v>
      </c>
      <c r="I3" s="111" t="s">
        <v>86</v>
      </c>
      <c r="J3" s="29" t="s">
        <v>100</v>
      </c>
      <c r="K3" s="29" t="s">
        <v>101</v>
      </c>
      <c r="L3" s="92" t="s">
        <v>141</v>
      </c>
      <c r="M3" s="92" t="s">
        <v>162</v>
      </c>
      <c r="N3" s="95" t="s">
        <v>163</v>
      </c>
    </row>
    <row r="4" spans="1:14" ht="15" customHeight="1">
      <c r="B4" s="163" t="s">
        <v>118</v>
      </c>
      <c r="C4" s="8" t="s">
        <v>20</v>
      </c>
      <c r="D4" s="10">
        <f>+G18</f>
        <v>185559</v>
      </c>
      <c r="E4" s="17">
        <f t="shared" ref="E4:E12" si="0">+D4/$D$12</f>
        <v>3.1593900829616113E-2</v>
      </c>
      <c r="F4" s="10">
        <f>+H18</f>
        <v>86759</v>
      </c>
      <c r="G4" s="17">
        <f t="shared" ref="G4:G11" si="1">+F4/$F$12</f>
        <v>6.0092826339634914E-3</v>
      </c>
      <c r="H4" s="67">
        <f>+F4-D4</f>
        <v>-98800</v>
      </c>
      <c r="I4" s="19">
        <f>+G4-E4</f>
        <v>-2.5584618195652623E-2</v>
      </c>
      <c r="J4" s="37">
        <f>+J18</f>
        <v>86759</v>
      </c>
      <c r="K4" s="19">
        <f>+J4/$J$12</f>
        <v>1.2618409855504742E-2</v>
      </c>
      <c r="L4" s="37">
        <f>+K18</f>
        <v>86759</v>
      </c>
      <c r="M4" s="17">
        <f>+L4/$L$12</f>
        <v>1.3038977027980798E-2</v>
      </c>
      <c r="N4" s="143">
        <f>+M4-E4</f>
        <v>-1.8554923801635315E-2</v>
      </c>
    </row>
    <row r="5" spans="1:14">
      <c r="B5" s="164"/>
      <c r="C5" s="9" t="s">
        <v>7</v>
      </c>
      <c r="D5" s="11">
        <f>+G30</f>
        <v>2065726</v>
      </c>
      <c r="E5" s="4">
        <f t="shared" si="0"/>
        <v>0.35171747199090081</v>
      </c>
      <c r="F5" s="11">
        <f>+H30</f>
        <v>2880567</v>
      </c>
      <c r="G5" s="4">
        <f t="shared" si="1"/>
        <v>0.19951983366645895</v>
      </c>
      <c r="H5" s="68">
        <f t="shared" ref="H5:H11" si="2">+F5-D5</f>
        <v>814841</v>
      </c>
      <c r="I5" s="20">
        <f t="shared" ref="I5:I11" si="3">+G5-E5</f>
        <v>-0.15219763832444186</v>
      </c>
      <c r="J5" s="38">
        <f>+J30</f>
        <v>2719025</v>
      </c>
      <c r="K5" s="20">
        <f t="shared" ref="K5:K11" si="4">+J5/$J$12</f>
        <v>0.39546066526082346</v>
      </c>
      <c r="L5" s="38">
        <f>+K30</f>
        <v>2785925</v>
      </c>
      <c r="M5" s="4">
        <f t="shared" ref="M5:M11" si="5">+L5/$L$12</f>
        <v>0.41869560595070721</v>
      </c>
      <c r="N5" s="144">
        <f t="shared" ref="N5:N11" si="6">+M5-E5</f>
        <v>6.6978133959806396E-2</v>
      </c>
    </row>
    <row r="6" spans="1:14">
      <c r="B6" s="164"/>
      <c r="C6" s="9" t="s">
        <v>21</v>
      </c>
      <c r="D6" s="11">
        <f>+G40</f>
        <v>120000</v>
      </c>
      <c r="E6" s="4">
        <f t="shared" si="0"/>
        <v>2.0431604500746034E-2</v>
      </c>
      <c r="F6" s="11">
        <f>+H40</f>
        <v>1042897</v>
      </c>
      <c r="G6" s="4">
        <f t="shared" si="1"/>
        <v>7.2235305053223564E-2</v>
      </c>
      <c r="H6" s="68">
        <f t="shared" si="2"/>
        <v>922897</v>
      </c>
      <c r="I6" s="20">
        <f t="shared" si="3"/>
        <v>5.180370055247753E-2</v>
      </c>
      <c r="J6" s="38">
        <f>+J40</f>
        <v>166635</v>
      </c>
      <c r="K6" s="20">
        <f t="shared" si="4"/>
        <v>2.4235741839717294E-2</v>
      </c>
      <c r="L6" s="38">
        <f>+K40</f>
        <v>126635</v>
      </c>
      <c r="M6" s="4">
        <f t="shared" si="5"/>
        <v>1.9031925862888557E-2</v>
      </c>
      <c r="N6" s="144">
        <f t="shared" si="6"/>
        <v>-1.3996786378574766E-3</v>
      </c>
    </row>
    <row r="7" spans="1:14">
      <c r="B7" s="164"/>
      <c r="C7" s="9" t="s">
        <v>22</v>
      </c>
      <c r="D7" s="11">
        <f>+G48</f>
        <v>522678</v>
      </c>
      <c r="E7" s="4">
        <f t="shared" si="0"/>
        <v>8.8992918143674465E-2</v>
      </c>
      <c r="F7" s="11">
        <f>+H48</f>
        <v>1688581</v>
      </c>
      <c r="G7" s="4">
        <f t="shared" si="1"/>
        <v>0.11695801564495563</v>
      </c>
      <c r="H7" s="68">
        <f t="shared" si="2"/>
        <v>1165903</v>
      </c>
      <c r="I7" s="20">
        <f t="shared" si="3"/>
        <v>2.7965097501281164E-2</v>
      </c>
      <c r="J7" s="38">
        <f>+J48</f>
        <v>35820</v>
      </c>
      <c r="K7" s="20">
        <f t="shared" si="4"/>
        <v>5.2097354859343683E-3</v>
      </c>
      <c r="L7" s="38">
        <f>+K48</f>
        <v>125820</v>
      </c>
      <c r="M7" s="4">
        <f t="shared" si="5"/>
        <v>1.8909439823655692E-2</v>
      </c>
      <c r="N7" s="144">
        <f t="shared" si="6"/>
        <v>-7.0083478320018766E-2</v>
      </c>
    </row>
    <row r="8" spans="1:14">
      <c r="B8" s="164"/>
      <c r="C8" s="9" t="s">
        <v>23</v>
      </c>
      <c r="D8" s="11">
        <f>+G59</f>
        <v>602452</v>
      </c>
      <c r="E8" s="4">
        <f t="shared" si="0"/>
        <v>0.10257550828902874</v>
      </c>
      <c r="F8" s="11">
        <f>+H59</f>
        <v>1331919</v>
      </c>
      <c r="G8" s="4">
        <f t="shared" si="1"/>
        <v>9.225414903982318E-2</v>
      </c>
      <c r="H8" s="68">
        <f t="shared" si="2"/>
        <v>729467</v>
      </c>
      <c r="I8" s="20">
        <f t="shared" si="3"/>
        <v>-1.0321359249205561E-2</v>
      </c>
      <c r="J8" s="38">
        <f>+J59</f>
        <v>839246</v>
      </c>
      <c r="K8" s="20">
        <f t="shared" si="4"/>
        <v>0.12206168809683068</v>
      </c>
      <c r="L8" s="38">
        <f>+K59</f>
        <v>839216</v>
      </c>
      <c r="M8" s="4">
        <f t="shared" si="5"/>
        <v>0.12612545263907993</v>
      </c>
      <c r="N8" s="144">
        <f t="shared" si="6"/>
        <v>2.3549944350051186E-2</v>
      </c>
    </row>
    <row r="9" spans="1:14">
      <c r="B9" s="164"/>
      <c r="C9" s="9" t="s">
        <v>5</v>
      </c>
      <c r="D9" s="11">
        <f>+G72</f>
        <v>1439394.8599999999</v>
      </c>
      <c r="E9" s="4">
        <f t="shared" si="0"/>
        <v>0.24507622083272254</v>
      </c>
      <c r="F9" s="11">
        <f>+H72</f>
        <v>3352519</v>
      </c>
      <c r="G9" s="4">
        <f t="shared" si="1"/>
        <v>0.23220915647636151</v>
      </c>
      <c r="H9" s="68">
        <f t="shared" si="2"/>
        <v>1913124.1400000001</v>
      </c>
      <c r="I9" s="20">
        <f t="shared" si="3"/>
        <v>-1.2867064356361035E-2</v>
      </c>
      <c r="J9" s="38">
        <f>+J72</f>
        <v>2008391</v>
      </c>
      <c r="K9" s="20">
        <f t="shared" si="4"/>
        <v>0.29210457460444478</v>
      </c>
      <c r="L9" s="38">
        <f>+K72</f>
        <v>1588391.53</v>
      </c>
      <c r="M9" s="4">
        <f t="shared" si="5"/>
        <v>0.23871875737513426</v>
      </c>
      <c r="N9" s="144">
        <f t="shared" si="6"/>
        <v>-6.3574634575882805E-3</v>
      </c>
    </row>
    <row r="10" spans="1:14">
      <c r="B10" s="164"/>
      <c r="C10" s="9" t="s">
        <v>11</v>
      </c>
      <c r="D10" s="11">
        <f>+G82</f>
        <v>685092</v>
      </c>
      <c r="E10" s="4">
        <f t="shared" si="0"/>
        <v>0.11664607325520918</v>
      </c>
      <c r="F10" s="11">
        <f>+H82</f>
        <v>1372653</v>
      </c>
      <c r="G10" s="4">
        <f t="shared" si="1"/>
        <v>9.5075552223491372E-2</v>
      </c>
      <c r="H10" s="68">
        <f t="shared" si="2"/>
        <v>687561</v>
      </c>
      <c r="I10" s="20">
        <f t="shared" si="3"/>
        <v>-2.1570521031717804E-2</v>
      </c>
      <c r="J10" s="38">
        <f>+J82</f>
        <v>543211</v>
      </c>
      <c r="K10" s="20">
        <f t="shared" si="4"/>
        <v>7.900574045365423E-2</v>
      </c>
      <c r="L10" s="38">
        <f>+K82</f>
        <v>485571</v>
      </c>
      <c r="M10" s="4">
        <f t="shared" si="5"/>
        <v>7.2976280437230312E-2</v>
      </c>
      <c r="N10" s="144">
        <f t="shared" si="6"/>
        <v>-4.3669792817978864E-2</v>
      </c>
    </row>
    <row r="11" spans="1:14" ht="13.5" thickBot="1">
      <c r="B11" s="165"/>
      <c r="C11" s="22" t="s">
        <v>154</v>
      </c>
      <c r="D11" s="13">
        <f>+G91</f>
        <v>252352</v>
      </c>
      <c r="E11" s="18">
        <f t="shared" si="0"/>
        <v>4.2966302158102189E-2</v>
      </c>
      <c r="F11" s="13">
        <f>+H91</f>
        <v>2681602</v>
      </c>
      <c r="G11" s="18">
        <f t="shared" si="1"/>
        <v>0.18573870526172231</v>
      </c>
      <c r="H11" s="108">
        <f t="shared" si="2"/>
        <v>2429250</v>
      </c>
      <c r="I11" s="21">
        <f t="shared" si="3"/>
        <v>0.14277240310362013</v>
      </c>
      <c r="J11" s="39">
        <f>+J91</f>
        <v>476502</v>
      </c>
      <c r="K11" s="21">
        <f t="shared" si="4"/>
        <v>6.9303444403090414E-2</v>
      </c>
      <c r="L11" s="39">
        <f>+K91</f>
        <v>615502</v>
      </c>
      <c r="M11" s="18">
        <f t="shared" si="5"/>
        <v>9.2503560883323205E-2</v>
      </c>
      <c r="N11" s="145">
        <f t="shared" si="6"/>
        <v>4.9537258725221016E-2</v>
      </c>
    </row>
    <row r="12" spans="1:14" ht="13.5" thickBot="1">
      <c r="C12" s="12" t="s">
        <v>16</v>
      </c>
      <c r="D12" s="25">
        <f>SUM(D4:D11)</f>
        <v>5873253.8599999994</v>
      </c>
      <c r="E12" s="23">
        <f t="shared" si="0"/>
        <v>1</v>
      </c>
      <c r="F12" s="25">
        <f t="shared" ref="F12:K12" si="7">SUM(F4:F11)</f>
        <v>14437497</v>
      </c>
      <c r="G12" s="24">
        <f t="shared" si="7"/>
        <v>1</v>
      </c>
      <c r="H12" s="34">
        <f t="shared" si="7"/>
        <v>8564243.1400000006</v>
      </c>
      <c r="I12" s="33">
        <f t="shared" si="7"/>
        <v>0</v>
      </c>
      <c r="J12" s="34">
        <f t="shared" si="7"/>
        <v>6875589</v>
      </c>
      <c r="K12" s="33">
        <f t="shared" si="7"/>
        <v>0.99999999999999989</v>
      </c>
      <c r="L12" s="34">
        <f t="shared" ref="L12:M12" si="8">SUM(L4:L11)</f>
        <v>6653819.5300000003</v>
      </c>
      <c r="M12" s="23">
        <f t="shared" si="8"/>
        <v>0.99999999999999989</v>
      </c>
      <c r="N12" s="24">
        <f>SUM(N4:N11)</f>
        <v>-1.0408340855860843E-16</v>
      </c>
    </row>
    <row r="13" spans="1:14">
      <c r="H13" s="4"/>
      <c r="I13" s="16"/>
      <c r="J13" s="16"/>
      <c r="K13" s="16"/>
      <c r="L13" s="16"/>
    </row>
    <row r="14" spans="1:14" ht="13.5" thickBot="1">
      <c r="H14" s="4"/>
      <c r="I14" s="16"/>
      <c r="J14" s="16"/>
      <c r="K14" s="16"/>
    </row>
    <row r="15" spans="1:14" ht="26.5" thickBot="1">
      <c r="C15" s="6" t="s">
        <v>0</v>
      </c>
      <c r="D15" s="7" t="s">
        <v>2</v>
      </c>
      <c r="E15" s="7" t="s">
        <v>33</v>
      </c>
      <c r="F15" s="7" t="s">
        <v>1</v>
      </c>
      <c r="G15" s="7" t="s">
        <v>131</v>
      </c>
      <c r="H15" s="7" t="s">
        <v>10</v>
      </c>
      <c r="I15" s="7" t="s">
        <v>3</v>
      </c>
      <c r="J15" s="7" t="s">
        <v>122</v>
      </c>
      <c r="K15" s="77" t="s">
        <v>160</v>
      </c>
      <c r="L15" s="78" t="s">
        <v>119</v>
      </c>
      <c r="M15" s="78" t="s">
        <v>142</v>
      </c>
    </row>
    <row r="16" spans="1:14">
      <c r="B16" s="161" t="s">
        <v>20</v>
      </c>
      <c r="C16" s="8" t="s">
        <v>41</v>
      </c>
      <c r="D16" s="44" t="s">
        <v>18</v>
      </c>
      <c r="E16" s="44" t="s">
        <v>88</v>
      </c>
      <c r="F16" s="44" t="s">
        <v>42</v>
      </c>
      <c r="G16" s="70">
        <v>185559</v>
      </c>
      <c r="H16" s="125">
        <v>86759</v>
      </c>
      <c r="I16" s="70">
        <f>+H16-G16</f>
        <v>-98800</v>
      </c>
      <c r="J16" s="70">
        <v>86759</v>
      </c>
      <c r="K16" s="126">
        <v>86759</v>
      </c>
      <c r="L16" s="86">
        <f>+K16-H16</f>
        <v>0</v>
      </c>
      <c r="M16" s="116"/>
    </row>
    <row r="17" spans="2:13" ht="13.5" thickBot="1">
      <c r="B17" s="162"/>
      <c r="C17" s="57"/>
      <c r="D17" s="46"/>
      <c r="E17" s="46"/>
      <c r="F17" s="46"/>
      <c r="G17" s="89"/>
      <c r="H17" s="89"/>
      <c r="I17" s="46"/>
      <c r="J17" s="46"/>
      <c r="K17" s="127"/>
      <c r="L17" s="128"/>
      <c r="M17" s="129"/>
    </row>
    <row r="18" spans="2:13">
      <c r="C18" t="s">
        <v>151</v>
      </c>
      <c r="E18" t="s">
        <v>117</v>
      </c>
      <c r="F18" s="48">
        <f>COUNTA(F16:F17)</f>
        <v>1</v>
      </c>
      <c r="G18" s="1">
        <f>SUM(G16:G17)</f>
        <v>185559</v>
      </c>
      <c r="H18" s="1">
        <f>SUM(H16:H17)</f>
        <v>86759</v>
      </c>
      <c r="I18" s="1">
        <f>SUM(I16:I17)</f>
        <v>-98800</v>
      </c>
      <c r="J18" s="1">
        <f>SUM(J16:J17)</f>
        <v>86759</v>
      </c>
      <c r="K18" s="80">
        <f>+K17+K16</f>
        <v>86759</v>
      </c>
      <c r="L18" s="80">
        <f>+L17+L16</f>
        <v>0</v>
      </c>
      <c r="M18" s="123" t="e">
        <f>AVERAGE(M16:M17)</f>
        <v>#DIV/0!</v>
      </c>
    </row>
    <row r="19" spans="2:13">
      <c r="H19" s="3" t="s">
        <v>132</v>
      </c>
      <c r="I19" s="2">
        <f>(+$H18-$G18)/$G18</f>
        <v>-0.53244520610695245</v>
      </c>
      <c r="J19" s="2"/>
      <c r="K19" s="16"/>
    </row>
    <row r="20" spans="2:13">
      <c r="H20" s="4"/>
      <c r="I20" s="16"/>
      <c r="J20" s="16"/>
      <c r="K20" s="16"/>
    </row>
    <row r="21" spans="2:13" ht="13.5" thickBot="1"/>
    <row r="22" spans="2:13" ht="26.5" thickBot="1">
      <c r="C22" s="119" t="s">
        <v>0</v>
      </c>
      <c r="D22" s="120" t="s">
        <v>2</v>
      </c>
      <c r="E22" s="120" t="s">
        <v>33</v>
      </c>
      <c r="F22" s="120" t="s">
        <v>1</v>
      </c>
      <c r="G22" s="120" t="s">
        <v>131</v>
      </c>
      <c r="H22" s="120" t="s">
        <v>10</v>
      </c>
      <c r="I22" s="120" t="s">
        <v>3</v>
      </c>
      <c r="J22" s="120" t="s">
        <v>122</v>
      </c>
      <c r="K22" s="77" t="s">
        <v>160</v>
      </c>
      <c r="L22" s="121" t="s">
        <v>119</v>
      </c>
      <c r="M22" s="121" t="s">
        <v>142</v>
      </c>
    </row>
    <row r="23" spans="2:13">
      <c r="B23" s="158" t="s">
        <v>40</v>
      </c>
      <c r="C23" s="8" t="s">
        <v>17</v>
      </c>
      <c r="D23" s="44" t="s">
        <v>18</v>
      </c>
      <c r="E23" s="44" t="s">
        <v>34</v>
      </c>
      <c r="F23" s="44" t="s">
        <v>24</v>
      </c>
      <c r="G23" s="70">
        <v>200000</v>
      </c>
      <c r="H23" s="70">
        <v>225000</v>
      </c>
      <c r="I23" s="70">
        <f>+H23-G23</f>
        <v>25000</v>
      </c>
      <c r="J23" s="70">
        <v>225000</v>
      </c>
      <c r="K23" s="86">
        <v>225000</v>
      </c>
      <c r="L23" s="87">
        <f>+K23-H23</f>
        <v>0</v>
      </c>
      <c r="M23" s="116">
        <v>6.9000000000000006E-2</v>
      </c>
    </row>
    <row r="24" spans="2:13">
      <c r="B24" s="159"/>
      <c r="C24" s="9" t="s">
        <v>17</v>
      </c>
      <c r="D24" t="s">
        <v>18</v>
      </c>
      <c r="E24" t="s">
        <v>35</v>
      </c>
      <c r="F24" t="s">
        <v>19</v>
      </c>
      <c r="G24" s="5">
        <v>323000</v>
      </c>
      <c r="H24" s="5">
        <v>640408</v>
      </c>
      <c r="I24" s="5">
        <f t="shared" ref="I24:I29" si="9">+H24-G24</f>
        <v>317408</v>
      </c>
      <c r="J24" s="5">
        <v>640408</v>
      </c>
      <c r="K24" s="82">
        <v>582408</v>
      </c>
      <c r="L24" s="88">
        <f t="shared" ref="L24:L29" si="10">+K24-H24</f>
        <v>-58000</v>
      </c>
      <c r="M24" s="117">
        <v>0.751</v>
      </c>
    </row>
    <row r="25" spans="2:13">
      <c r="B25" s="159"/>
      <c r="C25" s="9" t="s">
        <v>25</v>
      </c>
      <c r="D25" t="s">
        <v>18</v>
      </c>
      <c r="E25" t="s">
        <v>36</v>
      </c>
      <c r="F25" t="s">
        <v>26</v>
      </c>
      <c r="G25" s="5">
        <v>52153</v>
      </c>
      <c r="H25" s="5">
        <v>109387</v>
      </c>
      <c r="I25" s="5">
        <f t="shared" si="9"/>
        <v>57234</v>
      </c>
      <c r="J25" s="5">
        <v>30000</v>
      </c>
      <c r="K25" s="83">
        <v>95000</v>
      </c>
      <c r="L25" s="88">
        <f t="shared" si="10"/>
        <v>-14387</v>
      </c>
      <c r="M25" s="117">
        <v>0.29599999999999999</v>
      </c>
    </row>
    <row r="26" spans="2:13">
      <c r="B26" s="159"/>
      <c r="C26" s="9" t="s">
        <v>8</v>
      </c>
      <c r="D26" t="s">
        <v>18</v>
      </c>
      <c r="E26" t="s">
        <v>35</v>
      </c>
      <c r="F26" t="s">
        <v>27</v>
      </c>
      <c r="G26" s="5">
        <v>422590</v>
      </c>
      <c r="H26" s="5">
        <v>549367</v>
      </c>
      <c r="I26" s="5">
        <f t="shared" si="9"/>
        <v>126777</v>
      </c>
      <c r="J26" s="5">
        <v>549367</v>
      </c>
      <c r="K26" s="82">
        <v>549367</v>
      </c>
      <c r="L26" s="88">
        <f t="shared" si="10"/>
        <v>0</v>
      </c>
      <c r="M26" s="117">
        <v>0.497</v>
      </c>
    </row>
    <row r="27" spans="2:13">
      <c r="B27" s="159"/>
      <c r="C27" s="9" t="s">
        <v>28</v>
      </c>
      <c r="D27" t="s">
        <v>18</v>
      </c>
      <c r="E27" t="s">
        <v>37</v>
      </c>
      <c r="F27" t="s">
        <v>29</v>
      </c>
      <c r="G27" s="5">
        <v>169215</v>
      </c>
      <c r="H27" s="5">
        <v>246405</v>
      </c>
      <c r="I27" s="5">
        <f t="shared" si="9"/>
        <v>77190</v>
      </c>
      <c r="J27" s="5">
        <v>246405</v>
      </c>
      <c r="K27" s="82">
        <v>246405</v>
      </c>
      <c r="L27" s="88">
        <f t="shared" si="10"/>
        <v>0</v>
      </c>
      <c r="M27" s="117">
        <v>7.6999999999999999E-2</v>
      </c>
    </row>
    <row r="28" spans="2:13">
      <c r="B28" s="159"/>
      <c r="C28" s="9" t="s">
        <v>30</v>
      </c>
      <c r="D28" t="s">
        <v>18</v>
      </c>
      <c r="E28" t="s">
        <v>35</v>
      </c>
      <c r="F28" t="s">
        <v>31</v>
      </c>
      <c r="G28" s="5">
        <v>864000</v>
      </c>
      <c r="H28" s="5">
        <v>960000</v>
      </c>
      <c r="I28" s="5">
        <f t="shared" si="9"/>
        <v>96000</v>
      </c>
      <c r="J28" s="5">
        <v>960000</v>
      </c>
      <c r="K28" s="83">
        <f>864000+96000</f>
        <v>960000</v>
      </c>
      <c r="L28" s="88">
        <f t="shared" si="10"/>
        <v>0</v>
      </c>
      <c r="M28" s="117">
        <v>0.50600000000000001</v>
      </c>
    </row>
    <row r="29" spans="2:13" ht="13.5" thickBot="1">
      <c r="B29" s="160"/>
      <c r="C29" s="57" t="s">
        <v>32</v>
      </c>
      <c r="D29" s="46" t="s">
        <v>18</v>
      </c>
      <c r="E29" s="46" t="s">
        <v>38</v>
      </c>
      <c r="F29" s="46" t="s">
        <v>39</v>
      </c>
      <c r="G29" s="89">
        <v>34768</v>
      </c>
      <c r="H29" s="89">
        <v>150000</v>
      </c>
      <c r="I29" s="89">
        <f t="shared" si="9"/>
        <v>115232</v>
      </c>
      <c r="J29" s="89">
        <v>67845</v>
      </c>
      <c r="K29" s="90">
        <f>67845+59900</f>
        <v>127745</v>
      </c>
      <c r="L29" s="91">
        <f t="shared" si="10"/>
        <v>-22255</v>
      </c>
      <c r="M29" s="118">
        <v>0</v>
      </c>
    </row>
    <row r="30" spans="2:13">
      <c r="C30" t="s">
        <v>14</v>
      </c>
      <c r="E30" t="s">
        <v>117</v>
      </c>
      <c r="F30" s="48">
        <f>COUNTA(F23:F29)</f>
        <v>7</v>
      </c>
      <c r="G30" s="1">
        <f t="shared" ref="G30:L30" si="11">SUM(G23:G29)</f>
        <v>2065726</v>
      </c>
      <c r="H30" s="1">
        <f t="shared" si="11"/>
        <v>2880567</v>
      </c>
      <c r="I30" s="1">
        <f t="shared" si="11"/>
        <v>814841</v>
      </c>
      <c r="J30" s="1">
        <f t="shared" si="11"/>
        <v>2719025</v>
      </c>
      <c r="K30" s="80">
        <f t="shared" si="11"/>
        <v>2785925</v>
      </c>
      <c r="L30" s="80">
        <f t="shared" si="11"/>
        <v>-94642</v>
      </c>
      <c r="M30" s="123">
        <f>AVERAGE(M23:M29)</f>
        <v>0.31371428571428567</v>
      </c>
    </row>
    <row r="31" spans="2:13">
      <c r="H31" s="3" t="s">
        <v>132</v>
      </c>
      <c r="I31" s="2">
        <f>(+$H30-$G30)/$G30</f>
        <v>0.39445744498544338</v>
      </c>
      <c r="J31" s="2"/>
      <c r="M31" t="s">
        <v>13</v>
      </c>
    </row>
    <row r="32" spans="2:13">
      <c r="H32" s="3"/>
      <c r="I32" s="2"/>
      <c r="J32" s="2"/>
    </row>
    <row r="33" spans="2:13" ht="13.5" thickBot="1"/>
    <row r="34" spans="2:13" ht="26.5" thickBot="1">
      <c r="C34" s="6" t="s">
        <v>0</v>
      </c>
      <c r="D34" s="7" t="s">
        <v>2</v>
      </c>
      <c r="E34" s="7" t="s">
        <v>33</v>
      </c>
      <c r="F34" s="7" t="s">
        <v>1</v>
      </c>
      <c r="G34" s="7" t="s">
        <v>131</v>
      </c>
      <c r="H34" s="14" t="s">
        <v>10</v>
      </c>
      <c r="I34" s="15" t="s">
        <v>3</v>
      </c>
      <c r="J34" s="7" t="s">
        <v>122</v>
      </c>
      <c r="K34" s="77" t="s">
        <v>160</v>
      </c>
      <c r="L34" s="84" t="s">
        <v>119</v>
      </c>
      <c r="M34" s="78" t="s">
        <v>142</v>
      </c>
    </row>
    <row r="35" spans="2:13">
      <c r="B35" s="152" t="s">
        <v>21</v>
      </c>
      <c r="C35" s="8" t="s">
        <v>25</v>
      </c>
      <c r="D35" s="44" t="s">
        <v>12</v>
      </c>
      <c r="E35" s="44" t="s">
        <v>34</v>
      </c>
      <c r="F35" s="44" t="s">
        <v>92</v>
      </c>
      <c r="G35" s="70">
        <v>0</v>
      </c>
      <c r="H35" s="70">
        <v>81765</v>
      </c>
      <c r="I35" s="70">
        <f>+H35-G35</f>
        <v>81765</v>
      </c>
      <c r="J35" s="70">
        <v>40000</v>
      </c>
      <c r="K35" s="130">
        <v>0</v>
      </c>
      <c r="L35" s="131">
        <f>+K35-H35</f>
        <v>-81765</v>
      </c>
      <c r="M35" s="116"/>
    </row>
    <row r="36" spans="2:13">
      <c r="B36" s="153"/>
      <c r="C36" s="9" t="s">
        <v>41</v>
      </c>
      <c r="D36" t="s">
        <v>12</v>
      </c>
      <c r="E36" s="124" t="s">
        <v>34</v>
      </c>
      <c r="F36" t="s">
        <v>43</v>
      </c>
      <c r="G36" s="5">
        <v>0</v>
      </c>
      <c r="H36" s="5">
        <v>393923</v>
      </c>
      <c r="I36" s="5">
        <f>+H36-G36</f>
        <v>393923</v>
      </c>
      <c r="J36" s="5">
        <v>0</v>
      </c>
      <c r="K36" s="79">
        <v>0</v>
      </c>
      <c r="L36" s="81">
        <f>+K36-H36</f>
        <v>-393923</v>
      </c>
      <c r="M36" s="117"/>
    </row>
    <row r="37" spans="2:13">
      <c r="B37" s="153"/>
      <c r="C37" s="9" t="s">
        <v>28</v>
      </c>
      <c r="D37" t="s">
        <v>18</v>
      </c>
      <c r="E37" t="s">
        <v>37</v>
      </c>
      <c r="F37" t="s">
        <v>44</v>
      </c>
      <c r="G37" s="5">
        <v>30000</v>
      </c>
      <c r="H37" s="5">
        <v>31830</v>
      </c>
      <c r="I37" s="5">
        <f>+H37-G37</f>
        <v>1830</v>
      </c>
      <c r="J37" s="5">
        <v>31830</v>
      </c>
      <c r="K37" s="85">
        <v>31830</v>
      </c>
      <c r="L37" s="81">
        <f>+K37-H37</f>
        <v>0</v>
      </c>
      <c r="M37" s="117"/>
    </row>
    <row r="38" spans="2:13">
      <c r="B38" s="153"/>
      <c r="C38" s="9" t="s">
        <v>45</v>
      </c>
      <c r="D38" t="s">
        <v>12</v>
      </c>
      <c r="E38" t="s">
        <v>102</v>
      </c>
      <c r="F38" t="s">
        <v>46</v>
      </c>
      <c r="G38" s="5">
        <v>0</v>
      </c>
      <c r="H38" s="5">
        <v>440574</v>
      </c>
      <c r="I38" s="5">
        <f>+H38-G38</f>
        <v>440574</v>
      </c>
      <c r="J38" s="5">
        <v>0</v>
      </c>
      <c r="K38" s="85">
        <v>0</v>
      </c>
      <c r="L38" s="81">
        <f>+K38-H38</f>
        <v>-440574</v>
      </c>
      <c r="M38" s="117">
        <v>0.105</v>
      </c>
    </row>
    <row r="39" spans="2:13" ht="13.5" thickBot="1">
      <c r="B39" s="154"/>
      <c r="C39" s="57" t="s">
        <v>30</v>
      </c>
      <c r="D39" s="46" t="s">
        <v>18</v>
      </c>
      <c r="E39" s="46" t="s">
        <v>94</v>
      </c>
      <c r="F39" s="46" t="s">
        <v>47</v>
      </c>
      <c r="G39" s="89">
        <v>90000</v>
      </c>
      <c r="H39" s="89">
        <v>94805</v>
      </c>
      <c r="I39" s="89">
        <f>+H39-G39</f>
        <v>4805</v>
      </c>
      <c r="J39" s="89">
        <v>94805</v>
      </c>
      <c r="K39" s="132">
        <v>94805</v>
      </c>
      <c r="L39" s="133">
        <f>+K39-H39</f>
        <v>0</v>
      </c>
      <c r="M39" s="118">
        <v>0.30299999999999999</v>
      </c>
    </row>
    <row r="40" spans="2:13">
      <c r="C40" t="s">
        <v>152</v>
      </c>
      <c r="E40" t="s">
        <v>117</v>
      </c>
      <c r="F40" s="48">
        <f>COUNTA(F35:F39)</f>
        <v>5</v>
      </c>
      <c r="G40" s="1">
        <f>SUM(G35:G39)</f>
        <v>120000</v>
      </c>
      <c r="H40" s="1">
        <f>SUM(H35:H39)</f>
        <v>1042897</v>
      </c>
      <c r="I40" s="1">
        <f>SUM(I35:I39)</f>
        <v>922897</v>
      </c>
      <c r="J40" s="1">
        <f t="shared" ref="J40" si="12">SUM(J35:J39)</f>
        <v>166635</v>
      </c>
      <c r="K40" s="80">
        <f>SUM(K35:K39)</f>
        <v>126635</v>
      </c>
      <c r="L40" s="80">
        <f t="shared" ref="L40" si="13">SUM(L31:L39)</f>
        <v>-916262</v>
      </c>
      <c r="M40" s="123">
        <f>AVERAGE(M35:M39)</f>
        <v>0.20399999999999999</v>
      </c>
    </row>
    <row r="41" spans="2:13">
      <c r="H41" s="3" t="s">
        <v>132</v>
      </c>
      <c r="I41" s="2">
        <f>(+$H40-$G40)/$G40</f>
        <v>7.690808333333333</v>
      </c>
      <c r="J41" s="2"/>
      <c r="K41" s="1"/>
      <c r="L41" s="1"/>
    </row>
    <row r="42" spans="2:13">
      <c r="L42" s="2"/>
    </row>
    <row r="43" spans="2:13" ht="13.5" thickBot="1"/>
    <row r="44" spans="2:13" ht="26.5" thickBot="1">
      <c r="C44" s="6" t="s">
        <v>0</v>
      </c>
      <c r="D44" s="7" t="s">
        <v>2</v>
      </c>
      <c r="E44" s="7" t="s">
        <v>33</v>
      </c>
      <c r="F44" s="7" t="s">
        <v>1</v>
      </c>
      <c r="G44" s="7" t="s">
        <v>131</v>
      </c>
      <c r="H44" s="14" t="s">
        <v>10</v>
      </c>
      <c r="I44" s="15" t="s">
        <v>3</v>
      </c>
      <c r="J44" s="7" t="s">
        <v>122</v>
      </c>
      <c r="K44" s="77" t="s">
        <v>160</v>
      </c>
      <c r="L44" s="84" t="s">
        <v>119</v>
      </c>
      <c r="M44" s="78" t="s">
        <v>142</v>
      </c>
    </row>
    <row r="45" spans="2:13">
      <c r="B45" s="152" t="s">
        <v>48</v>
      </c>
      <c r="C45" s="8" t="s">
        <v>41</v>
      </c>
      <c r="D45" s="44" t="s">
        <v>12</v>
      </c>
      <c r="E45" s="44" t="s">
        <v>49</v>
      </c>
      <c r="F45" s="44" t="s">
        <v>50</v>
      </c>
      <c r="G45" s="70">
        <v>0</v>
      </c>
      <c r="H45" s="70">
        <v>35820</v>
      </c>
      <c r="I45" s="70">
        <f>+H45-G45</f>
        <v>35820</v>
      </c>
      <c r="J45" s="70">
        <v>35820</v>
      </c>
      <c r="K45" s="126">
        <v>35820</v>
      </c>
      <c r="L45" s="131">
        <f>+K45-H45</f>
        <v>0</v>
      </c>
      <c r="M45" s="116"/>
    </row>
    <row r="46" spans="2:13">
      <c r="B46" s="153"/>
      <c r="C46" s="9" t="s">
        <v>120</v>
      </c>
      <c r="D46" t="s">
        <v>12</v>
      </c>
      <c r="E46" t="s">
        <v>35</v>
      </c>
      <c r="F46" t="s">
        <v>121</v>
      </c>
      <c r="G46" s="5">
        <v>0</v>
      </c>
      <c r="H46" s="5">
        <v>921000</v>
      </c>
      <c r="I46" s="5">
        <f t="shared" ref="I46" si="14">+H46-G46</f>
        <v>921000</v>
      </c>
      <c r="J46" s="5">
        <v>0</v>
      </c>
      <c r="K46" s="83">
        <v>90000</v>
      </c>
      <c r="L46" s="88">
        <f t="shared" ref="L46" si="15">+K46-H46</f>
        <v>-831000</v>
      </c>
      <c r="M46" s="117"/>
    </row>
    <row r="47" spans="2:13" ht="13.5" thickBot="1">
      <c r="B47" s="154"/>
      <c r="C47" s="57" t="s">
        <v>51</v>
      </c>
      <c r="D47" s="46" t="s">
        <v>18</v>
      </c>
      <c r="E47" s="46" t="s">
        <v>71</v>
      </c>
      <c r="F47" s="46" t="s">
        <v>52</v>
      </c>
      <c r="G47" s="89">
        <v>522678</v>
      </c>
      <c r="H47" s="89">
        <v>731761</v>
      </c>
      <c r="I47" s="89">
        <f>+H47-G47</f>
        <v>209083</v>
      </c>
      <c r="J47" s="89">
        <v>0</v>
      </c>
      <c r="K47" s="134">
        <v>0</v>
      </c>
      <c r="L47" s="133">
        <f t="shared" ref="L47" si="16">+K47-H47</f>
        <v>-731761</v>
      </c>
      <c r="M47" s="118">
        <v>0.111</v>
      </c>
    </row>
    <row r="48" spans="2:13">
      <c r="C48" t="s">
        <v>148</v>
      </c>
      <c r="E48" t="s">
        <v>117</v>
      </c>
      <c r="F48" s="48">
        <f>COUNTA(F45:F47)</f>
        <v>3</v>
      </c>
      <c r="G48" s="1">
        <f>SUM(G45:G47)</f>
        <v>522678</v>
      </c>
      <c r="H48" s="1">
        <f>SUM(H45:H47)</f>
        <v>1688581</v>
      </c>
      <c r="I48" s="1">
        <f>SUM(I45:I47)</f>
        <v>1165903</v>
      </c>
      <c r="J48" s="1">
        <f t="shared" ref="J48" si="17">SUM(J45:J47)</f>
        <v>35820</v>
      </c>
      <c r="K48" s="80">
        <f>SUM(K45:K47)</f>
        <v>125820</v>
      </c>
      <c r="L48" s="80">
        <f ca="1">SUM(L39:L48)</f>
        <v>-1837633</v>
      </c>
      <c r="M48" s="123">
        <f>AVERAGE(M45:M47)</f>
        <v>0.111</v>
      </c>
    </row>
    <row r="49" spans="2:13">
      <c r="H49" s="3" t="s">
        <v>132</v>
      </c>
      <c r="I49" s="26">
        <f>(+$H48-$G48)/$G48</f>
        <v>2.2306333918779822</v>
      </c>
      <c r="J49" s="26"/>
    </row>
    <row r="51" spans="2:13" ht="13.5" thickBot="1"/>
    <row r="52" spans="2:13" ht="26.5" thickBot="1">
      <c r="C52" s="6" t="s">
        <v>0</v>
      </c>
      <c r="D52" s="7" t="s">
        <v>2</v>
      </c>
      <c r="E52" s="7" t="s">
        <v>33</v>
      </c>
      <c r="F52" s="7" t="s">
        <v>1</v>
      </c>
      <c r="G52" s="7" t="s">
        <v>131</v>
      </c>
      <c r="H52" s="14" t="s">
        <v>10</v>
      </c>
      <c r="I52" s="15" t="s">
        <v>3</v>
      </c>
      <c r="J52" s="7" t="s">
        <v>122</v>
      </c>
      <c r="K52" s="77" t="s">
        <v>160</v>
      </c>
      <c r="L52" s="105" t="s">
        <v>9</v>
      </c>
      <c r="M52" s="78" t="s">
        <v>142</v>
      </c>
    </row>
    <row r="53" spans="2:13">
      <c r="B53" s="152" t="s">
        <v>23</v>
      </c>
      <c r="C53" s="8" t="s">
        <v>17</v>
      </c>
      <c r="D53" s="44" t="s">
        <v>18</v>
      </c>
      <c r="E53" s="44" t="s">
        <v>35</v>
      </c>
      <c r="F53" s="44" t="s">
        <v>53</v>
      </c>
      <c r="G53" s="70">
        <v>200000</v>
      </c>
      <c r="H53" s="70">
        <v>337787</v>
      </c>
      <c r="I53" s="70">
        <f>+H53-G53</f>
        <v>137787</v>
      </c>
      <c r="J53" s="70">
        <v>337787</v>
      </c>
      <c r="K53" s="70">
        <v>337787</v>
      </c>
      <c r="L53" s="131">
        <f t="shared" ref="L53:L58" si="18">+K53-H53</f>
        <v>0</v>
      </c>
      <c r="M53" s="116">
        <v>0.77800000000000002</v>
      </c>
    </row>
    <row r="54" spans="2:13">
      <c r="B54" s="153"/>
      <c r="C54" s="9" t="s">
        <v>17</v>
      </c>
      <c r="D54" t="s">
        <v>18</v>
      </c>
      <c r="E54" t="s">
        <v>35</v>
      </c>
      <c r="F54" t="s">
        <v>97</v>
      </c>
      <c r="G54" s="5">
        <v>135000</v>
      </c>
      <c r="H54" s="5">
        <v>156820</v>
      </c>
      <c r="I54" s="5">
        <f>+H54-G54</f>
        <v>21820</v>
      </c>
      <c r="J54" s="5">
        <v>156850</v>
      </c>
      <c r="K54" s="93">
        <v>156820</v>
      </c>
      <c r="L54" s="81">
        <f t="shared" si="18"/>
        <v>0</v>
      </c>
      <c r="M54" s="117">
        <v>1</v>
      </c>
    </row>
    <row r="55" spans="2:13">
      <c r="B55" s="153"/>
      <c r="C55" s="9" t="s">
        <v>54</v>
      </c>
      <c r="D55" t="s">
        <v>18</v>
      </c>
      <c r="E55" t="s">
        <v>37</v>
      </c>
      <c r="F55" t="s">
        <v>55</v>
      </c>
      <c r="G55" s="5">
        <v>111104</v>
      </c>
      <c r="H55" s="5">
        <v>152019</v>
      </c>
      <c r="I55" s="5">
        <f t="shared" ref="I55:I56" si="19">+H55-G55</f>
        <v>40915</v>
      </c>
      <c r="J55" s="5">
        <v>152019</v>
      </c>
      <c r="K55" s="93">
        <v>152019</v>
      </c>
      <c r="L55" s="81">
        <f t="shared" si="18"/>
        <v>0</v>
      </c>
      <c r="M55" s="117"/>
    </row>
    <row r="56" spans="2:13">
      <c r="B56" s="153"/>
      <c r="C56" s="9" t="s">
        <v>56</v>
      </c>
      <c r="D56" t="s">
        <v>18</v>
      </c>
      <c r="E56" t="s">
        <v>34</v>
      </c>
      <c r="F56" t="s">
        <v>57</v>
      </c>
      <c r="G56" s="5">
        <v>119348</v>
      </c>
      <c r="H56" s="5">
        <v>140000</v>
      </c>
      <c r="I56" s="5">
        <f t="shared" si="19"/>
        <v>20652</v>
      </c>
      <c r="J56" s="5">
        <v>140000</v>
      </c>
      <c r="K56" s="93">
        <v>140000</v>
      </c>
      <c r="L56" s="81">
        <f t="shared" si="18"/>
        <v>0</v>
      </c>
      <c r="M56" s="117">
        <v>0.66700000000000004</v>
      </c>
    </row>
    <row r="57" spans="2:13">
      <c r="B57" s="153"/>
      <c r="C57" s="9" t="s">
        <v>59</v>
      </c>
      <c r="D57" t="s">
        <v>12</v>
      </c>
      <c r="E57" t="s">
        <v>84</v>
      </c>
      <c r="F57" t="s">
        <v>58</v>
      </c>
      <c r="G57" s="5">
        <v>0</v>
      </c>
      <c r="H57" s="5">
        <v>492703</v>
      </c>
      <c r="I57" s="5">
        <f t="shared" ref="I57:I58" si="20">+H57-G57</f>
        <v>492703</v>
      </c>
      <c r="J57" s="5">
        <v>0</v>
      </c>
      <c r="K57" s="93">
        <v>0</v>
      </c>
      <c r="L57" s="81">
        <f t="shared" si="18"/>
        <v>-492703</v>
      </c>
      <c r="M57" s="117">
        <v>0.2</v>
      </c>
    </row>
    <row r="58" spans="2:13" ht="13.5" thickBot="1">
      <c r="B58" s="154"/>
      <c r="C58" s="57" t="s">
        <v>60</v>
      </c>
      <c r="D58" s="46" t="s">
        <v>18</v>
      </c>
      <c r="E58" s="135" t="s">
        <v>34</v>
      </c>
      <c r="F58" s="46" t="s">
        <v>61</v>
      </c>
      <c r="G58" s="89">
        <v>37000</v>
      </c>
      <c r="H58" s="89">
        <v>52590</v>
      </c>
      <c r="I58" s="89">
        <f t="shared" si="20"/>
        <v>15590</v>
      </c>
      <c r="J58" s="89">
        <v>52590</v>
      </c>
      <c r="K58" s="136">
        <v>52590</v>
      </c>
      <c r="L58" s="133">
        <f t="shared" si="18"/>
        <v>0</v>
      </c>
      <c r="M58" s="118">
        <v>0.433</v>
      </c>
    </row>
    <row r="59" spans="2:13">
      <c r="C59" t="s">
        <v>149</v>
      </c>
      <c r="E59" t="s">
        <v>117</v>
      </c>
      <c r="F59" s="48">
        <f>COUNTA(F53:F58)</f>
        <v>6</v>
      </c>
      <c r="G59" s="1">
        <f>SUM(G53:G58)</f>
        <v>602452</v>
      </c>
      <c r="H59" s="1">
        <f t="shared" ref="H59:J59" si="21">SUM(H53:H58)</f>
        <v>1331919</v>
      </c>
      <c r="I59" s="1">
        <f t="shared" si="21"/>
        <v>729467</v>
      </c>
      <c r="J59" s="1">
        <f t="shared" si="21"/>
        <v>839246</v>
      </c>
      <c r="K59" s="1">
        <f>SUM(K53:K58)</f>
        <v>839216</v>
      </c>
      <c r="L59" s="1">
        <f>SUM(L53:L58)</f>
        <v>-492703</v>
      </c>
      <c r="M59" s="123">
        <f>AVERAGE(M53:M58)</f>
        <v>0.61560000000000004</v>
      </c>
    </row>
    <row r="60" spans="2:13">
      <c r="H60" s="3" t="s">
        <v>93</v>
      </c>
      <c r="I60" s="26">
        <f>(+$H59-$G59)/$G59</f>
        <v>1.2108300744291662</v>
      </c>
      <c r="J60" s="26"/>
      <c r="L60" s="1"/>
    </row>
    <row r="61" spans="2:13">
      <c r="L61" s="2"/>
    </row>
    <row r="62" spans="2:13" ht="13.5" thickBot="1"/>
    <row r="63" spans="2:13" ht="26.5" thickBot="1">
      <c r="C63" s="6" t="s">
        <v>0</v>
      </c>
      <c r="D63" s="7" t="s">
        <v>2</v>
      </c>
      <c r="E63" s="7" t="s">
        <v>33</v>
      </c>
      <c r="F63" s="7" t="s">
        <v>1</v>
      </c>
      <c r="G63" s="7" t="s">
        <v>131</v>
      </c>
      <c r="H63" s="14" t="s">
        <v>10</v>
      </c>
      <c r="I63" s="15" t="s">
        <v>3</v>
      </c>
      <c r="J63" s="7" t="s">
        <v>122</v>
      </c>
      <c r="K63" s="77" t="s">
        <v>160</v>
      </c>
      <c r="L63" s="84" t="s">
        <v>119</v>
      </c>
      <c r="M63" s="78" t="s">
        <v>142</v>
      </c>
    </row>
    <row r="64" spans="2:13" ht="15" customHeight="1">
      <c r="B64" s="149" t="s">
        <v>62</v>
      </c>
      <c r="C64" s="8" t="s">
        <v>25</v>
      </c>
      <c r="D64" s="44" t="s">
        <v>12</v>
      </c>
      <c r="E64" s="35" t="s">
        <v>143</v>
      </c>
      <c r="F64" s="44" t="s">
        <v>63</v>
      </c>
      <c r="G64" s="70">
        <v>188965</v>
      </c>
      <c r="H64" s="70">
        <v>1350411</v>
      </c>
      <c r="I64" s="70">
        <f t="shared" ref="I64:I71" si="22">+H64-G64</f>
        <v>1161446</v>
      </c>
      <c r="J64" s="70">
        <v>81683</v>
      </c>
      <c r="K64" s="130">
        <v>0</v>
      </c>
      <c r="L64" s="131">
        <f t="shared" ref="L64:L71" si="23">+K64-H64</f>
        <v>-1350411</v>
      </c>
      <c r="M64" s="116">
        <v>0</v>
      </c>
    </row>
    <row r="65" spans="2:13">
      <c r="B65" s="150"/>
      <c r="C65" s="9" t="s">
        <v>8</v>
      </c>
      <c r="D65" t="s">
        <v>12</v>
      </c>
      <c r="E65" s="122" t="s">
        <v>34</v>
      </c>
      <c r="F65" t="s">
        <v>62</v>
      </c>
      <c r="G65" s="5">
        <v>0</v>
      </c>
      <c r="H65" s="5">
        <v>236207</v>
      </c>
      <c r="I65" s="5">
        <f t="shared" si="22"/>
        <v>236207</v>
      </c>
      <c r="J65" s="5">
        <v>236207</v>
      </c>
      <c r="K65" s="79">
        <v>217309.75</v>
      </c>
      <c r="L65" s="81">
        <f t="shared" si="23"/>
        <v>-18897.25</v>
      </c>
      <c r="M65" s="117">
        <v>0.27200000000000002</v>
      </c>
    </row>
    <row r="66" spans="2:13" ht="26">
      <c r="B66" s="150"/>
      <c r="C66" s="9" t="s">
        <v>64</v>
      </c>
      <c r="D66" t="s">
        <v>18</v>
      </c>
      <c r="E66" s="122" t="s">
        <v>35</v>
      </c>
      <c r="F66" t="s">
        <v>65</v>
      </c>
      <c r="G66" s="5">
        <v>225213</v>
      </c>
      <c r="H66" s="5">
        <v>527000</v>
      </c>
      <c r="I66" s="5">
        <f t="shared" si="22"/>
        <v>301787</v>
      </c>
      <c r="J66" s="5">
        <v>527000</v>
      </c>
      <c r="K66" s="85">
        <v>258994.95</v>
      </c>
      <c r="L66" s="81">
        <f t="shared" si="23"/>
        <v>-268005.05</v>
      </c>
      <c r="M66" s="117"/>
    </row>
    <row r="67" spans="2:13">
      <c r="B67" s="150"/>
      <c r="C67" s="9" t="s">
        <v>56</v>
      </c>
      <c r="D67" t="s">
        <v>18</v>
      </c>
      <c r="E67" s="122" t="s">
        <v>34</v>
      </c>
      <c r="F67" t="s">
        <v>66</v>
      </c>
      <c r="G67" s="5">
        <v>43546</v>
      </c>
      <c r="H67" s="5">
        <v>80000</v>
      </c>
      <c r="I67" s="5">
        <f t="shared" si="22"/>
        <v>36454</v>
      </c>
      <c r="J67" s="5">
        <v>80000</v>
      </c>
      <c r="K67" s="85">
        <v>50077.9</v>
      </c>
      <c r="L67" s="81">
        <f t="shared" si="23"/>
        <v>-29922.1</v>
      </c>
      <c r="M67" s="117">
        <v>0.105</v>
      </c>
    </row>
    <row r="68" spans="2:13">
      <c r="B68" s="150"/>
      <c r="C68" s="9" t="s">
        <v>59</v>
      </c>
      <c r="D68" t="s">
        <v>18</v>
      </c>
      <c r="E68" t="s">
        <v>84</v>
      </c>
      <c r="F68" t="s">
        <v>67</v>
      </c>
      <c r="G68" s="5">
        <v>311365.98</v>
      </c>
      <c r="H68" s="5">
        <v>374717</v>
      </c>
      <c r="I68" s="5">
        <f t="shared" si="22"/>
        <v>63351.020000000019</v>
      </c>
      <c r="J68" s="5">
        <v>374717</v>
      </c>
      <c r="K68" s="85">
        <v>358070.88</v>
      </c>
      <c r="L68" s="81">
        <f t="shared" si="23"/>
        <v>-16646.119999999995</v>
      </c>
      <c r="M68" s="117">
        <v>0.56299999999999994</v>
      </c>
    </row>
    <row r="69" spans="2:13">
      <c r="B69" s="150"/>
      <c r="C69" s="9" t="s">
        <v>28</v>
      </c>
      <c r="D69" t="s">
        <v>18</v>
      </c>
      <c r="E69" t="s">
        <v>68</v>
      </c>
      <c r="F69" t="s">
        <v>69</v>
      </c>
      <c r="G69" s="5">
        <v>187457</v>
      </c>
      <c r="H69" s="5">
        <v>187457</v>
      </c>
      <c r="I69" s="5">
        <f t="shared" si="22"/>
        <v>0</v>
      </c>
      <c r="J69" s="5">
        <v>112057</v>
      </c>
      <c r="K69" s="85">
        <v>180167.05</v>
      </c>
      <c r="L69" s="81">
        <f t="shared" si="23"/>
        <v>-7289.9500000000116</v>
      </c>
      <c r="M69" s="117">
        <v>0.39100000000000001</v>
      </c>
    </row>
    <row r="70" spans="2:13">
      <c r="B70" s="150"/>
      <c r="C70" s="9" t="s">
        <v>90</v>
      </c>
      <c r="D70" t="s">
        <v>18</v>
      </c>
      <c r="E70" t="s">
        <v>68</v>
      </c>
      <c r="F70" t="s">
        <v>91</v>
      </c>
      <c r="G70" s="5">
        <v>212920</v>
      </c>
      <c r="H70" s="5">
        <v>317814</v>
      </c>
      <c r="I70" s="5">
        <f t="shared" si="22"/>
        <v>104894</v>
      </c>
      <c r="J70" s="5">
        <v>317814</v>
      </c>
      <c r="K70" s="85">
        <v>244858</v>
      </c>
      <c r="L70" s="81">
        <f t="shared" si="23"/>
        <v>-72956</v>
      </c>
      <c r="M70" s="117">
        <v>0.105</v>
      </c>
    </row>
    <row r="71" spans="2:13" ht="13.5" thickBot="1">
      <c r="B71" s="151"/>
      <c r="C71" s="57" t="s">
        <v>30</v>
      </c>
      <c r="D71" s="46" t="s">
        <v>18</v>
      </c>
      <c r="E71" s="46" t="s">
        <v>85</v>
      </c>
      <c r="F71" s="46" t="s">
        <v>70</v>
      </c>
      <c r="G71" s="89">
        <v>269927.88</v>
      </c>
      <c r="H71" s="89">
        <v>278913</v>
      </c>
      <c r="I71" s="89">
        <f t="shared" si="22"/>
        <v>8985.1199999999953</v>
      </c>
      <c r="J71" s="89">
        <v>278913</v>
      </c>
      <c r="K71" s="132">
        <v>278913</v>
      </c>
      <c r="L71" s="133">
        <f t="shared" si="23"/>
        <v>0</v>
      </c>
      <c r="M71" s="118">
        <v>0.39400000000000002</v>
      </c>
    </row>
    <row r="72" spans="2:13">
      <c r="C72" t="s">
        <v>4</v>
      </c>
      <c r="E72" t="s">
        <v>117</v>
      </c>
      <c r="F72" s="48">
        <f>COUNTA(F64:F71)</f>
        <v>8</v>
      </c>
      <c r="G72" s="5">
        <f>SUM(G64:G71)</f>
        <v>1439394.8599999999</v>
      </c>
      <c r="H72" s="5">
        <f t="shared" ref="H72:J72" si="24">SUM(H64:H71)</f>
        <v>3352519</v>
      </c>
      <c r="I72" s="5">
        <f t="shared" si="24"/>
        <v>1913124.1400000001</v>
      </c>
      <c r="J72" s="5">
        <f t="shared" si="24"/>
        <v>2008391</v>
      </c>
      <c r="K72" s="80">
        <f>SUM(K64:K71)</f>
        <v>1588391.53</v>
      </c>
      <c r="L72" s="80">
        <f t="shared" ref="L72" si="25">SUM(L63:L71)</f>
        <v>-1764127.47</v>
      </c>
      <c r="M72" s="123">
        <f>AVERAGE(M64:M71)</f>
        <v>0.26142857142857145</v>
      </c>
    </row>
    <row r="73" spans="2:13">
      <c r="H73" s="3" t="s">
        <v>132</v>
      </c>
      <c r="I73" s="26">
        <f>(+$H72-$G72)/$G72</f>
        <v>1.3291169735037127</v>
      </c>
      <c r="J73" s="26"/>
      <c r="L73" s="1"/>
    </row>
    <row r="74" spans="2:13">
      <c r="L74" s="2"/>
    </row>
    <row r="75" spans="2:13" ht="13.5" thickBot="1"/>
    <row r="76" spans="2:13" ht="26.5" thickBot="1">
      <c r="C76" s="6" t="s">
        <v>0</v>
      </c>
      <c r="D76" s="7" t="s">
        <v>2</v>
      </c>
      <c r="E76" s="7" t="s">
        <v>33</v>
      </c>
      <c r="F76" s="7" t="s">
        <v>1</v>
      </c>
      <c r="G76" s="7" t="s">
        <v>131</v>
      </c>
      <c r="H76" s="14" t="s">
        <v>10</v>
      </c>
      <c r="I76" s="15" t="s">
        <v>3</v>
      </c>
      <c r="J76" s="7" t="s">
        <v>122</v>
      </c>
      <c r="K76" s="77" t="s">
        <v>160</v>
      </c>
      <c r="L76" s="84" t="s">
        <v>119</v>
      </c>
      <c r="M76" s="78" t="s">
        <v>142</v>
      </c>
    </row>
    <row r="77" spans="2:13">
      <c r="B77" s="149" t="s">
        <v>11</v>
      </c>
      <c r="C77" s="8" t="s">
        <v>17</v>
      </c>
      <c r="D77" s="44" t="s">
        <v>18</v>
      </c>
      <c r="E77" s="44" t="s">
        <v>71</v>
      </c>
      <c r="F77" s="44" t="s">
        <v>72</v>
      </c>
      <c r="G77" s="70">
        <v>325651</v>
      </c>
      <c r="H77" s="70">
        <v>368324</v>
      </c>
      <c r="I77" s="70">
        <f>+H77-G77</f>
        <v>42673</v>
      </c>
      <c r="J77" s="70">
        <v>368324</v>
      </c>
      <c r="K77" s="126">
        <v>238324</v>
      </c>
      <c r="L77" s="126">
        <f t="shared" ref="L77:L81" si="26">+K77-H77</f>
        <v>-130000</v>
      </c>
      <c r="M77" s="137">
        <v>0.59</v>
      </c>
    </row>
    <row r="78" spans="2:13">
      <c r="B78" s="150"/>
      <c r="C78" s="9" t="s">
        <v>73</v>
      </c>
      <c r="D78" t="s">
        <v>12</v>
      </c>
      <c r="E78" t="s">
        <v>74</v>
      </c>
      <c r="F78" t="s">
        <v>75</v>
      </c>
      <c r="G78" s="5">
        <v>0</v>
      </c>
      <c r="H78" s="5">
        <v>600000</v>
      </c>
      <c r="I78" s="5">
        <f>+H78-G78</f>
        <v>600000</v>
      </c>
      <c r="J78" s="5">
        <v>0</v>
      </c>
      <c r="K78" s="85">
        <v>0</v>
      </c>
      <c r="L78" s="79">
        <f t="shared" si="26"/>
        <v>-600000</v>
      </c>
      <c r="M78" s="138"/>
    </row>
    <row r="79" spans="2:13">
      <c r="B79" s="150"/>
      <c r="C79" s="9" t="s">
        <v>56</v>
      </c>
      <c r="D79" t="s">
        <v>18</v>
      </c>
      <c r="E79" t="s">
        <v>71</v>
      </c>
      <c r="F79" t="s">
        <v>77</v>
      </c>
      <c r="G79" s="5">
        <v>34768</v>
      </c>
      <c r="H79" s="5">
        <v>80000</v>
      </c>
      <c r="I79" s="5">
        <f t="shared" ref="I79:I81" si="27">+H79-G79</f>
        <v>45232</v>
      </c>
      <c r="J79" s="5">
        <v>80000</v>
      </c>
      <c r="K79" s="85">
        <v>80000</v>
      </c>
      <c r="L79" s="79">
        <f t="shared" si="26"/>
        <v>0</v>
      </c>
      <c r="M79" s="138"/>
    </row>
    <row r="80" spans="2:13">
      <c r="B80" s="150"/>
      <c r="C80" s="9" t="s">
        <v>28</v>
      </c>
      <c r="D80" t="s">
        <v>18</v>
      </c>
      <c r="E80" t="s">
        <v>37</v>
      </c>
      <c r="F80" t="s">
        <v>76</v>
      </c>
      <c r="G80" s="5">
        <v>211542</v>
      </c>
      <c r="H80" s="5">
        <v>228100</v>
      </c>
      <c r="I80" s="5">
        <f t="shared" si="27"/>
        <v>16558</v>
      </c>
      <c r="J80" s="5">
        <v>94887</v>
      </c>
      <c r="K80" s="85">
        <v>94887</v>
      </c>
      <c r="L80" s="79">
        <f t="shared" si="26"/>
        <v>-133213</v>
      </c>
      <c r="M80" s="138">
        <v>0.38</v>
      </c>
    </row>
    <row r="81" spans="2:13" ht="13.5" thickBot="1">
      <c r="B81" s="151"/>
      <c r="C81" s="57" t="s">
        <v>51</v>
      </c>
      <c r="D81" s="46" t="s">
        <v>18</v>
      </c>
      <c r="E81" s="46" t="s">
        <v>71</v>
      </c>
      <c r="F81" s="46" t="s">
        <v>78</v>
      </c>
      <c r="G81" s="89">
        <v>113131</v>
      </c>
      <c r="H81" s="89">
        <v>96229</v>
      </c>
      <c r="I81" s="89">
        <f t="shared" si="27"/>
        <v>-16902</v>
      </c>
      <c r="J81" s="89">
        <v>0</v>
      </c>
      <c r="K81" s="139">
        <v>72360</v>
      </c>
      <c r="L81" s="134">
        <f t="shared" si="26"/>
        <v>-23869</v>
      </c>
      <c r="M81" s="140">
        <v>0.51900000000000002</v>
      </c>
    </row>
    <row r="82" spans="2:13">
      <c r="C82" t="s">
        <v>15</v>
      </c>
      <c r="E82" t="s">
        <v>117</v>
      </c>
      <c r="F82" s="48">
        <f>COUNTA(F77:F81)</f>
        <v>5</v>
      </c>
      <c r="G82" s="5">
        <f>SUM(G77:G81)</f>
        <v>685092</v>
      </c>
      <c r="H82" s="5">
        <f>SUM(H77:H81)</f>
        <v>1372653</v>
      </c>
      <c r="I82" s="5">
        <f>SUM(I77:I81)</f>
        <v>687561</v>
      </c>
      <c r="J82" s="5">
        <f>SUM(J77:J81)</f>
        <v>543211</v>
      </c>
      <c r="K82" s="80">
        <f>SUM(K77:K81)</f>
        <v>485571</v>
      </c>
      <c r="L82" s="80">
        <f t="shared" ref="L82" si="28">SUM(L73:L81)</f>
        <v>-887082</v>
      </c>
      <c r="M82" s="123">
        <f>AVERAGE(M77:M81)</f>
        <v>0.49633333333333329</v>
      </c>
    </row>
    <row r="83" spans="2:13">
      <c r="H83" s="3" t="s">
        <v>132</v>
      </c>
      <c r="I83" s="26">
        <f>(+$H82-$G82)/$G82</f>
        <v>1.0036038955351982</v>
      </c>
      <c r="J83" s="26"/>
      <c r="L83" s="1"/>
    </row>
    <row r="84" spans="2:13">
      <c r="L84" s="2"/>
    </row>
    <row r="85" spans="2:13" ht="13.5" thickBot="1"/>
    <row r="86" spans="2:13" ht="26.5" thickBot="1">
      <c r="C86" s="6" t="s">
        <v>0</v>
      </c>
      <c r="D86" s="7" t="s">
        <v>2</v>
      </c>
      <c r="E86" s="7" t="s">
        <v>33</v>
      </c>
      <c r="F86" s="7" t="s">
        <v>1</v>
      </c>
      <c r="G86" s="7" t="s">
        <v>131</v>
      </c>
      <c r="H86" s="14" t="s">
        <v>10</v>
      </c>
      <c r="I86" s="15" t="s">
        <v>3</v>
      </c>
      <c r="J86" s="7" t="s">
        <v>122</v>
      </c>
      <c r="K86" s="77" t="s">
        <v>160</v>
      </c>
      <c r="L86" s="84" t="s">
        <v>119</v>
      </c>
      <c r="M86" s="78" t="s">
        <v>142</v>
      </c>
    </row>
    <row r="87" spans="2:13">
      <c r="B87" s="152" t="s">
        <v>80</v>
      </c>
      <c r="C87" s="8" t="s">
        <v>17</v>
      </c>
      <c r="D87" s="44" t="s">
        <v>18</v>
      </c>
      <c r="E87" s="44" t="s">
        <v>71</v>
      </c>
      <c r="F87" s="44" t="s">
        <v>81</v>
      </c>
      <c r="G87" s="70">
        <v>50000</v>
      </c>
      <c r="H87" s="70">
        <v>181500</v>
      </c>
      <c r="I87" s="70">
        <f>+H87-G87</f>
        <v>131500</v>
      </c>
      <c r="J87" s="70">
        <v>181500</v>
      </c>
      <c r="K87" s="126">
        <v>181500</v>
      </c>
      <c r="L87" s="131">
        <f t="shared" ref="L87:L90" si="29">+K87-H87</f>
        <v>0</v>
      </c>
      <c r="M87" s="116">
        <v>0.58099999999999996</v>
      </c>
    </row>
    <row r="88" spans="2:13">
      <c r="B88" s="153"/>
      <c r="C88" s="9" t="s">
        <v>98</v>
      </c>
      <c r="D88" t="s">
        <v>12</v>
      </c>
      <c r="E88" t="s">
        <v>95</v>
      </c>
      <c r="F88" t="s">
        <v>99</v>
      </c>
      <c r="G88" s="5">
        <v>0</v>
      </c>
      <c r="H88" s="5">
        <v>955100</v>
      </c>
      <c r="I88" s="5">
        <f>+H88-G88</f>
        <v>955100</v>
      </c>
      <c r="J88" s="5">
        <v>0</v>
      </c>
      <c r="K88" s="79">
        <v>232000</v>
      </c>
      <c r="L88" s="81">
        <f t="shared" si="29"/>
        <v>-723100</v>
      </c>
      <c r="M88" s="117">
        <v>0</v>
      </c>
    </row>
    <row r="89" spans="2:13">
      <c r="B89" s="153"/>
      <c r="C89" s="9" t="s">
        <v>30</v>
      </c>
      <c r="D89" t="s">
        <v>12</v>
      </c>
      <c r="E89" t="s">
        <v>95</v>
      </c>
      <c r="F89" t="s">
        <v>96</v>
      </c>
      <c r="G89" s="5">
        <v>0</v>
      </c>
      <c r="H89" s="5">
        <v>1250000</v>
      </c>
      <c r="I89" s="5">
        <f>+H89-G89</f>
        <v>1250000</v>
      </c>
      <c r="J89" s="5">
        <v>0</v>
      </c>
      <c r="K89" s="79">
        <v>0</v>
      </c>
      <c r="L89" s="81">
        <f t="shared" si="29"/>
        <v>-1250000</v>
      </c>
      <c r="M89" s="117">
        <v>0</v>
      </c>
    </row>
    <row r="90" spans="2:13" ht="13.5" thickBot="1">
      <c r="B90" s="154"/>
      <c r="C90" s="57" t="s">
        <v>59</v>
      </c>
      <c r="D90" s="46" t="s">
        <v>18</v>
      </c>
      <c r="E90" s="46" t="s">
        <v>82</v>
      </c>
      <c r="F90" s="46" t="s">
        <v>83</v>
      </c>
      <c r="G90" s="89">
        <v>202352</v>
      </c>
      <c r="H90" s="89">
        <v>295002</v>
      </c>
      <c r="I90" s="89">
        <f>+H90-G90</f>
        <v>92650</v>
      </c>
      <c r="J90" s="89">
        <v>295002</v>
      </c>
      <c r="K90" s="134">
        <v>202002</v>
      </c>
      <c r="L90" s="133">
        <f t="shared" si="29"/>
        <v>-93000</v>
      </c>
      <c r="M90" s="118">
        <v>0.2</v>
      </c>
    </row>
    <row r="91" spans="2:13">
      <c r="C91" t="s">
        <v>150</v>
      </c>
      <c r="E91" t="s">
        <v>117</v>
      </c>
      <c r="F91" s="48">
        <f>COUNTA(F87:F90)</f>
        <v>4</v>
      </c>
      <c r="G91" s="1">
        <f>SUM(G87:G90)</f>
        <v>252352</v>
      </c>
      <c r="H91" s="1">
        <f>SUM(H87:H90)</f>
        <v>2681602</v>
      </c>
      <c r="I91" s="1">
        <f>SUM(I87:I90)</f>
        <v>2429250</v>
      </c>
      <c r="J91" s="1">
        <f>SUM(J87:J90)</f>
        <v>476502</v>
      </c>
      <c r="K91" s="80">
        <f>SUM(K87:K90)</f>
        <v>615502</v>
      </c>
      <c r="L91" s="80">
        <f t="shared" ref="L91" si="30">SUM(L82:L90)</f>
        <v>-2953182</v>
      </c>
      <c r="M91" s="123">
        <f>AVERAGE(M87:M90)</f>
        <v>0.19524999999999998</v>
      </c>
    </row>
    <row r="92" spans="2:13">
      <c r="H92" s="3" t="s">
        <v>132</v>
      </c>
      <c r="I92" s="26">
        <f>(+$H91-$G91)/$G91</f>
        <v>9.6264345041846315</v>
      </c>
      <c r="J92" s="26"/>
      <c r="L92" s="1"/>
    </row>
    <row r="93" spans="2:13">
      <c r="L93" s="2"/>
    </row>
  </sheetData>
  <sheetProtection algorithmName="SHA-512" hashValue="6gT7E4ZRsgDXFB4LIuB/0bnnlQrIE+4VPr2ZBFYYIAhQTS1viBqxAoFKrfDKAEgTID7lrqEqV1rfmd8PaL6LaQ==" saltValue="GefCLmpWHll/PWSTWsH0EQ==" spinCount="100000" sheet="1" objects="1" scenarios="1"/>
  <sortState xmlns:xlrd2="http://schemas.microsoft.com/office/spreadsheetml/2017/richdata2" ref="C35:L39">
    <sortCondition ref="C35:C39"/>
  </sortState>
  <mergeCells count="11">
    <mergeCell ref="E1:M1"/>
    <mergeCell ref="B64:B71"/>
    <mergeCell ref="B77:B81"/>
    <mergeCell ref="B87:B90"/>
    <mergeCell ref="A1:C1"/>
    <mergeCell ref="B23:B29"/>
    <mergeCell ref="B16:B17"/>
    <mergeCell ref="B35:B39"/>
    <mergeCell ref="B45:B47"/>
    <mergeCell ref="B53:B58"/>
    <mergeCell ref="B4:B11"/>
  </mergeCells>
  <conditionalFormatting sqref="I19:J19">
    <cfRule type="expression" dxfId="39" priority="391" stopIfTrue="1">
      <formula>$H1048564&gt;0</formula>
    </cfRule>
    <cfRule type="expression" dxfId="38" priority="392" stopIfTrue="1">
      <formula>$I19&lt;0</formula>
    </cfRule>
    <cfRule type="expression" dxfId="37" priority="393" stopIfTrue="1">
      <formula>$I19&gt;0</formula>
    </cfRule>
    <cfRule type="expression" dxfId="36" priority="390" stopIfTrue="1">
      <formula>$H1048564&lt;0</formula>
    </cfRule>
  </conditionalFormatting>
  <conditionalFormatting sqref="I31:J32">
    <cfRule type="expression" dxfId="35" priority="396" stopIfTrue="1">
      <formula>$I31&lt;0</formula>
    </cfRule>
    <cfRule type="expression" dxfId="34" priority="394" stopIfTrue="1">
      <formula>$E4&lt;0</formula>
    </cfRule>
    <cfRule type="expression" dxfId="33" priority="397" stopIfTrue="1">
      <formula>$I31&gt;0</formula>
    </cfRule>
    <cfRule type="expression" dxfId="32" priority="395" stopIfTrue="1">
      <formula>$E4&gt;0</formula>
    </cfRule>
  </conditionalFormatting>
  <conditionalFormatting sqref="I41:J41">
    <cfRule type="expression" dxfId="31" priority="293" stopIfTrue="1">
      <formula>$I41&gt;0</formula>
    </cfRule>
    <cfRule type="expression" dxfId="30" priority="292" stopIfTrue="1">
      <formula>$I41&lt;0</formula>
    </cfRule>
    <cfRule type="expression" dxfId="29" priority="290" stopIfTrue="1">
      <formula>$H29&lt;0</formula>
    </cfRule>
    <cfRule type="expression" dxfId="28" priority="291" stopIfTrue="1">
      <formula>$H29&gt;0</formula>
    </cfRule>
  </conditionalFormatting>
  <conditionalFormatting sqref="I49:J49 I60:J60">
    <cfRule type="expression" dxfId="27" priority="399" stopIfTrue="1">
      <formula>$H16&gt;0</formula>
    </cfRule>
    <cfRule type="expression" dxfId="26" priority="400" stopIfTrue="1">
      <formula>$I49&lt;0</formula>
    </cfRule>
    <cfRule type="expression" dxfId="25" priority="401" stopIfTrue="1">
      <formula>$I49&gt;0</formula>
    </cfRule>
    <cfRule type="expression" dxfId="24" priority="398" stopIfTrue="1">
      <formula>$H16&lt;0</formula>
    </cfRule>
  </conditionalFormatting>
  <conditionalFormatting sqref="I73:J73 I83:J83">
    <cfRule type="expression" dxfId="23" priority="326" stopIfTrue="1">
      <formula>$H51&lt;0</formula>
    </cfRule>
    <cfRule type="expression" dxfId="22" priority="327" stopIfTrue="1">
      <formula>$H51&gt;0</formula>
    </cfRule>
    <cfRule type="expression" dxfId="21" priority="328" stopIfTrue="1">
      <formula>$I73&lt;0</formula>
    </cfRule>
    <cfRule type="expression" dxfId="20" priority="329" stopIfTrue="1">
      <formula>$I73&gt;0</formula>
    </cfRule>
  </conditionalFormatting>
  <conditionalFormatting sqref="I92:J92">
    <cfRule type="expression" dxfId="19" priority="358" stopIfTrue="1">
      <formula>$H67&lt;0</formula>
    </cfRule>
    <cfRule type="expression" dxfId="18" priority="359" stopIfTrue="1">
      <formula>$H67&gt;0</formula>
    </cfRule>
    <cfRule type="expression" dxfId="17" priority="360" stopIfTrue="1">
      <formula>$I92&lt;0</formula>
    </cfRule>
    <cfRule type="expression" dxfId="16" priority="361" stopIfTrue="1">
      <formula>$I92&gt;0</formula>
    </cfRule>
  </conditionalFormatting>
  <conditionalFormatting sqref="L42">
    <cfRule type="expression" dxfId="15" priority="409" stopIfTrue="1">
      <formula>$I41&gt;0</formula>
    </cfRule>
    <cfRule type="expression" dxfId="14" priority="406" stopIfTrue="1">
      <formula>$H17&lt;0</formula>
    </cfRule>
    <cfRule type="expression" dxfId="13" priority="407" stopIfTrue="1">
      <formula>$H17&gt;0</formula>
    </cfRule>
    <cfRule type="expression" dxfId="12" priority="408" stopIfTrue="1">
      <formula>$I41&lt;0</formula>
    </cfRule>
  </conditionalFormatting>
  <conditionalFormatting sqref="L61">
    <cfRule type="expression" dxfId="11" priority="325" stopIfTrue="1">
      <formula>$I60&gt;0</formula>
    </cfRule>
    <cfRule type="expression" dxfId="10" priority="323" stopIfTrue="1">
      <formula>$H47&gt;0</formula>
    </cfRule>
    <cfRule type="expression" dxfId="9" priority="324" stopIfTrue="1">
      <formula>$I60&lt;0</formula>
    </cfRule>
    <cfRule type="expression" dxfId="8" priority="322" stopIfTrue="1">
      <formula>$H47&lt;0</formula>
    </cfRule>
  </conditionalFormatting>
  <conditionalFormatting sqref="L74">
    <cfRule type="expression" dxfId="7" priority="314" stopIfTrue="1">
      <formula>#REF!&lt;0</formula>
    </cfRule>
    <cfRule type="expression" dxfId="6" priority="315" stopIfTrue="1">
      <formula>#REF!&gt;0</formula>
    </cfRule>
    <cfRule type="expression" dxfId="5" priority="317" stopIfTrue="1">
      <formula>$I73&gt;0</formula>
    </cfRule>
    <cfRule type="expression" dxfId="4" priority="316" stopIfTrue="1">
      <formula>$I73&lt;0</formula>
    </cfRule>
  </conditionalFormatting>
  <conditionalFormatting sqref="L84 L93">
    <cfRule type="expression" dxfId="3" priority="125" stopIfTrue="1">
      <formula>$I83&gt;0</formula>
    </cfRule>
    <cfRule type="expression" dxfId="2" priority="123" stopIfTrue="1">
      <formula>$H71&gt;0</formula>
    </cfRule>
    <cfRule type="expression" dxfId="1" priority="124" stopIfTrue="1">
      <formula>$I83&lt;0</formula>
    </cfRule>
    <cfRule type="expression" dxfId="0" priority="122" stopIfTrue="1">
      <formula>$H71&lt;0</formula>
    </cfRule>
  </conditionalFormatting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7F21-7A32-654B-903B-D49FB1D80DCB}">
  <dimension ref="A1:I83"/>
  <sheetViews>
    <sheetView zoomScaleNormal="100" workbookViewId="0">
      <selection sqref="A1:C1"/>
    </sheetView>
  </sheetViews>
  <sheetFormatPr defaultColWidth="11.19921875" defaultRowHeight="13"/>
  <cols>
    <col min="1" max="1" width="1.59765625" customWidth="1"/>
    <col min="2" max="2" width="5.19921875" customWidth="1"/>
    <col min="3" max="3" width="31.19921875" customWidth="1"/>
    <col min="4" max="4" width="17" customWidth="1"/>
    <col min="5" max="6" width="16" customWidth="1"/>
    <col min="7" max="7" width="16.19921875" customWidth="1"/>
    <col min="8" max="8" width="13.796875" customWidth="1"/>
    <col min="9" max="9" width="14.3984375" customWidth="1"/>
    <col min="10" max="10" width="34.796875" customWidth="1"/>
    <col min="11" max="11" width="13.3984375" bestFit="1" customWidth="1"/>
  </cols>
  <sheetData>
    <row r="1" spans="1:9" ht="29" customHeight="1" thickBot="1">
      <c r="A1" s="155" t="s">
        <v>153</v>
      </c>
      <c r="B1" s="156"/>
      <c r="C1" s="157"/>
    </row>
    <row r="2" spans="1:9" ht="14" customHeight="1">
      <c r="A2" s="30"/>
      <c r="B2" s="31"/>
      <c r="C2" s="31"/>
    </row>
    <row r="3" spans="1:9" ht="13.5" thickBot="1"/>
    <row r="4" spans="1:9" ht="15" customHeight="1" thickBot="1">
      <c r="D4" s="166" t="s">
        <v>155</v>
      </c>
      <c r="E4" s="167"/>
      <c r="F4" s="167"/>
      <c r="G4" s="167"/>
      <c r="H4" s="168"/>
    </row>
    <row r="5" spans="1:9" ht="15" customHeight="1" thickBot="1">
      <c r="C5" s="58" t="s">
        <v>104</v>
      </c>
      <c r="D5" s="36" t="s">
        <v>37</v>
      </c>
      <c r="E5" s="27" t="s">
        <v>103</v>
      </c>
      <c r="F5" s="28" t="s">
        <v>95</v>
      </c>
      <c r="G5" s="28" t="s">
        <v>138</v>
      </c>
      <c r="H5" s="28" t="s">
        <v>106</v>
      </c>
      <c r="I5" s="28" t="s">
        <v>105</v>
      </c>
    </row>
    <row r="6" spans="1:9">
      <c r="C6" s="8" t="s">
        <v>20</v>
      </c>
      <c r="D6" s="47">
        <v>0</v>
      </c>
      <c r="E6" s="49">
        <v>0</v>
      </c>
      <c r="F6" s="49">
        <v>0</v>
      </c>
      <c r="G6" s="48">
        <v>0</v>
      </c>
      <c r="H6" s="49">
        <v>1</v>
      </c>
      <c r="I6" s="60">
        <f t="shared" ref="I6:I13" si="0">SUM(D6:H6)</f>
        <v>1</v>
      </c>
    </row>
    <row r="7" spans="1:9">
      <c r="C7" s="9" t="s">
        <v>7</v>
      </c>
      <c r="D7" s="51">
        <v>1</v>
      </c>
      <c r="E7" s="48">
        <v>1</v>
      </c>
      <c r="F7" s="48">
        <v>3</v>
      </c>
      <c r="G7" s="48">
        <v>2</v>
      </c>
      <c r="H7" s="48">
        <v>0</v>
      </c>
      <c r="I7" s="61">
        <f t="shared" si="0"/>
        <v>7</v>
      </c>
    </row>
    <row r="8" spans="1:9">
      <c r="C8" s="9" t="s">
        <v>21</v>
      </c>
      <c r="D8" s="51">
        <v>1</v>
      </c>
      <c r="E8" s="48">
        <v>3</v>
      </c>
      <c r="F8" s="48">
        <v>0</v>
      </c>
      <c r="G8" s="48">
        <v>0</v>
      </c>
      <c r="H8" s="48">
        <v>1</v>
      </c>
      <c r="I8" s="61">
        <f t="shared" si="0"/>
        <v>5</v>
      </c>
    </row>
    <row r="9" spans="1:9">
      <c r="C9" s="9" t="s">
        <v>22</v>
      </c>
      <c r="D9" s="51">
        <v>0</v>
      </c>
      <c r="E9" s="48">
        <v>0</v>
      </c>
      <c r="F9" s="48">
        <v>1</v>
      </c>
      <c r="G9" s="48">
        <v>0</v>
      </c>
      <c r="H9" s="48">
        <v>2</v>
      </c>
      <c r="I9" s="61">
        <f t="shared" si="0"/>
        <v>3</v>
      </c>
    </row>
    <row r="10" spans="1:9">
      <c r="C10" s="9" t="s">
        <v>23</v>
      </c>
      <c r="D10" s="51">
        <v>1</v>
      </c>
      <c r="E10" s="48">
        <v>2</v>
      </c>
      <c r="F10" s="48">
        <v>3</v>
      </c>
      <c r="G10" s="48">
        <v>1</v>
      </c>
      <c r="H10" s="48">
        <v>0</v>
      </c>
      <c r="I10" s="61">
        <f t="shared" si="0"/>
        <v>7</v>
      </c>
    </row>
    <row r="11" spans="1:9">
      <c r="C11" s="9" t="s">
        <v>5</v>
      </c>
      <c r="D11" s="51">
        <v>2</v>
      </c>
      <c r="E11" s="48">
        <v>1</v>
      </c>
      <c r="F11" s="48">
        <v>2</v>
      </c>
      <c r="G11" s="48">
        <v>1</v>
      </c>
      <c r="H11" s="48">
        <v>1</v>
      </c>
      <c r="I11" s="61">
        <f t="shared" si="0"/>
        <v>7</v>
      </c>
    </row>
    <row r="12" spans="1:9">
      <c r="C12" s="9" t="s">
        <v>11</v>
      </c>
      <c r="D12" s="51">
        <v>1</v>
      </c>
      <c r="E12" s="48">
        <v>0</v>
      </c>
      <c r="F12" s="48">
        <v>0</v>
      </c>
      <c r="G12" s="48">
        <v>1</v>
      </c>
      <c r="H12" s="48">
        <v>3</v>
      </c>
      <c r="I12" s="61">
        <f t="shared" si="0"/>
        <v>5</v>
      </c>
    </row>
    <row r="13" spans="1:9" ht="13.5" thickBot="1">
      <c r="C13" s="45" t="s">
        <v>79</v>
      </c>
      <c r="D13" s="52">
        <v>0</v>
      </c>
      <c r="E13" s="50">
        <v>0</v>
      </c>
      <c r="F13" s="50">
        <v>3</v>
      </c>
      <c r="G13" s="48">
        <v>1</v>
      </c>
      <c r="H13" s="50">
        <v>0</v>
      </c>
      <c r="I13" s="62">
        <f t="shared" si="0"/>
        <v>4</v>
      </c>
    </row>
    <row r="14" spans="1:9" ht="13.5" thickBot="1">
      <c r="D14" s="54">
        <f>SUM(D6:D13)</f>
        <v>6</v>
      </c>
      <c r="E14" s="55">
        <f t="shared" ref="E14:G14" si="1">SUM(E6:E13)</f>
        <v>7</v>
      </c>
      <c r="F14" s="55">
        <f t="shared" si="1"/>
        <v>12</v>
      </c>
      <c r="G14" s="55">
        <f t="shared" si="1"/>
        <v>6</v>
      </c>
      <c r="H14" s="55">
        <f>SUM(H6:H13)</f>
        <v>8</v>
      </c>
      <c r="I14" s="56">
        <f>SUM(I6:I13)</f>
        <v>39</v>
      </c>
    </row>
    <row r="15" spans="1:9">
      <c r="E15" s="172" t="s">
        <v>134</v>
      </c>
      <c r="F15" s="173"/>
      <c r="G15" s="173"/>
      <c r="H15" s="173"/>
      <c r="I15" s="174"/>
    </row>
    <row r="16" spans="1:9" ht="13.5" thickBot="1"/>
    <row r="17" spans="3:8" ht="48.5" thickBot="1">
      <c r="C17" s="141" t="s">
        <v>144</v>
      </c>
      <c r="D17" s="112" t="s">
        <v>146</v>
      </c>
      <c r="E17" s="112" t="s">
        <v>145</v>
      </c>
    </row>
    <row r="18" spans="3:8">
      <c r="C18" s="8" t="s">
        <v>20</v>
      </c>
      <c r="D18" s="47">
        <v>1</v>
      </c>
      <c r="E18" s="19">
        <f>+D18/$D$26</f>
        <v>6.25E-2</v>
      </c>
    </row>
    <row r="19" spans="3:8">
      <c r="C19" s="9" t="s">
        <v>7</v>
      </c>
      <c r="D19" s="51">
        <v>3</v>
      </c>
      <c r="E19" s="20">
        <f t="shared" ref="E19:E25" si="2">+D19/$D$26</f>
        <v>0.1875</v>
      </c>
    </row>
    <row r="20" spans="3:8">
      <c r="C20" s="9" t="s">
        <v>21</v>
      </c>
      <c r="D20" s="51">
        <v>1</v>
      </c>
      <c r="E20" s="20">
        <f t="shared" si="2"/>
        <v>6.25E-2</v>
      </c>
    </row>
    <row r="21" spans="3:8">
      <c r="C21" s="9" t="s">
        <v>22</v>
      </c>
      <c r="D21" s="51">
        <v>1</v>
      </c>
      <c r="E21" s="20">
        <f t="shared" si="2"/>
        <v>6.25E-2</v>
      </c>
    </row>
    <row r="22" spans="3:8">
      <c r="C22" s="9" t="s">
        <v>23</v>
      </c>
      <c r="D22" s="51">
        <v>3</v>
      </c>
      <c r="E22" s="20">
        <f t="shared" si="2"/>
        <v>0.1875</v>
      </c>
    </row>
    <row r="23" spans="3:8">
      <c r="C23" s="9" t="s">
        <v>5</v>
      </c>
      <c r="D23" s="51">
        <v>4</v>
      </c>
      <c r="E23" s="20">
        <f>+D23/$D$26</f>
        <v>0.25</v>
      </c>
    </row>
    <row r="24" spans="3:8">
      <c r="C24" s="9" t="s">
        <v>11</v>
      </c>
      <c r="D24" s="51">
        <v>1</v>
      </c>
      <c r="E24" s="20">
        <f t="shared" si="2"/>
        <v>6.25E-2</v>
      </c>
    </row>
    <row r="25" spans="3:8" ht="13.5" thickBot="1">
      <c r="C25" s="45" t="s">
        <v>79</v>
      </c>
      <c r="D25" s="52">
        <v>2</v>
      </c>
      <c r="E25" s="21">
        <f t="shared" si="2"/>
        <v>0.125</v>
      </c>
    </row>
    <row r="26" spans="3:8" ht="13.5" thickBot="1">
      <c r="D26" s="54">
        <f>SUM(D18:D25)</f>
        <v>16</v>
      </c>
      <c r="E26" s="24">
        <f>+D26/$D$26</f>
        <v>1</v>
      </c>
    </row>
    <row r="28" spans="3:8" ht="13.5" thickBot="1"/>
    <row r="29" spans="3:8" ht="21" customHeight="1" thickBot="1">
      <c r="C29" s="142" t="s">
        <v>137</v>
      </c>
      <c r="D29" s="112" t="s">
        <v>136</v>
      </c>
      <c r="E29" s="112" t="s">
        <v>156</v>
      </c>
      <c r="F29" s="113" t="s">
        <v>116</v>
      </c>
      <c r="G29" s="92" t="s">
        <v>135</v>
      </c>
      <c r="H29" s="29" t="s">
        <v>105</v>
      </c>
    </row>
    <row r="30" spans="3:8">
      <c r="C30" s="8" t="s">
        <v>20</v>
      </c>
      <c r="D30" s="60">
        <v>0</v>
      </c>
      <c r="E30" s="60">
        <v>0</v>
      </c>
      <c r="F30" s="49">
        <v>1</v>
      </c>
      <c r="G30" s="60">
        <v>1</v>
      </c>
      <c r="H30" s="60">
        <f>+F30+D30</f>
        <v>1</v>
      </c>
    </row>
    <row r="31" spans="3:8">
      <c r="C31" s="9" t="s">
        <v>7</v>
      </c>
      <c r="D31" s="61">
        <v>0</v>
      </c>
      <c r="E31" s="61">
        <v>1</v>
      </c>
      <c r="F31" s="48">
        <v>7</v>
      </c>
      <c r="G31" s="61">
        <v>7</v>
      </c>
      <c r="H31" s="61">
        <f t="shared" ref="H31:H37" si="3">+F31+D31</f>
        <v>7</v>
      </c>
    </row>
    <row r="32" spans="3:8">
      <c r="C32" s="9" t="s">
        <v>21</v>
      </c>
      <c r="D32" s="61">
        <v>3</v>
      </c>
      <c r="E32" s="61">
        <v>0</v>
      </c>
      <c r="F32" s="48">
        <v>2</v>
      </c>
      <c r="G32" s="61">
        <v>2</v>
      </c>
      <c r="H32" s="61">
        <f t="shared" si="3"/>
        <v>5</v>
      </c>
    </row>
    <row r="33" spans="3:8">
      <c r="C33" s="9" t="s">
        <v>22</v>
      </c>
      <c r="D33" s="61">
        <v>2</v>
      </c>
      <c r="E33" s="61">
        <v>2</v>
      </c>
      <c r="F33" s="48">
        <v>1</v>
      </c>
      <c r="G33" s="61">
        <v>1</v>
      </c>
      <c r="H33" s="61">
        <f t="shared" si="3"/>
        <v>3</v>
      </c>
    </row>
    <row r="34" spans="3:8">
      <c r="C34" s="9" t="s">
        <v>23</v>
      </c>
      <c r="D34" s="61">
        <v>1</v>
      </c>
      <c r="E34" s="61">
        <v>0</v>
      </c>
      <c r="F34" s="48">
        <v>5</v>
      </c>
      <c r="G34" s="61">
        <v>5</v>
      </c>
      <c r="H34" s="61">
        <f t="shared" si="3"/>
        <v>6</v>
      </c>
    </row>
    <row r="35" spans="3:8">
      <c r="C35" s="9" t="s">
        <v>5</v>
      </c>
      <c r="D35" s="61">
        <v>2</v>
      </c>
      <c r="E35" s="61">
        <v>1</v>
      </c>
      <c r="F35" s="48">
        <v>6</v>
      </c>
      <c r="G35" s="61">
        <v>6</v>
      </c>
      <c r="H35" s="61">
        <f t="shared" si="3"/>
        <v>8</v>
      </c>
    </row>
    <row r="36" spans="3:8">
      <c r="C36" s="9" t="s">
        <v>11</v>
      </c>
      <c r="D36" s="61">
        <v>1</v>
      </c>
      <c r="E36" s="61">
        <v>0</v>
      </c>
      <c r="F36" s="48">
        <v>4</v>
      </c>
      <c r="G36" s="61">
        <v>2</v>
      </c>
      <c r="H36" s="61">
        <f t="shared" si="3"/>
        <v>5</v>
      </c>
    </row>
    <row r="37" spans="3:8" ht="13.5" thickBot="1">
      <c r="C37" s="45" t="s">
        <v>79</v>
      </c>
      <c r="D37" s="62">
        <v>2</v>
      </c>
      <c r="E37" s="62">
        <v>0</v>
      </c>
      <c r="F37" s="50">
        <v>2</v>
      </c>
      <c r="G37" s="62">
        <v>2</v>
      </c>
      <c r="H37" s="62">
        <f t="shared" si="3"/>
        <v>4</v>
      </c>
    </row>
    <row r="38" spans="3:8">
      <c r="D38" s="47">
        <f>SUM(D30:D37)</f>
        <v>11</v>
      </c>
      <c r="E38" s="47">
        <f>SUM(E30:E37)</f>
        <v>4</v>
      </c>
      <c r="F38" s="60">
        <f t="shared" ref="F38:G38" si="4">SUM(F30:F37)</f>
        <v>28</v>
      </c>
      <c r="G38" s="53">
        <f t="shared" si="4"/>
        <v>26</v>
      </c>
      <c r="H38" s="53">
        <f t="shared" ref="H38" si="5">SUM(H30:H37)</f>
        <v>39</v>
      </c>
    </row>
    <row r="39" spans="3:8" ht="13.5" thickBot="1">
      <c r="D39" s="63">
        <f>+D38/$H$38</f>
        <v>0.28205128205128205</v>
      </c>
      <c r="E39" s="63">
        <f>+E38/$H$38</f>
        <v>0.10256410256410256</v>
      </c>
      <c r="F39" s="94">
        <f>+F38/$H$38</f>
        <v>0.71794871794871795</v>
      </c>
      <c r="G39" s="18">
        <f>+G38/$H$38</f>
        <v>0.66666666666666663</v>
      </c>
      <c r="H39" s="94">
        <f>+H38/$H$38</f>
        <v>1</v>
      </c>
    </row>
    <row r="40" spans="3:8">
      <c r="D40" s="172" t="s">
        <v>157</v>
      </c>
      <c r="E40" s="173"/>
      <c r="F40" s="173"/>
      <c r="G40" s="173"/>
      <c r="H40" s="174"/>
    </row>
    <row r="42" spans="3:8" ht="13.5" thickBot="1"/>
    <row r="43" spans="3:8" ht="36.5" thickBot="1">
      <c r="C43" s="59" t="s">
        <v>133</v>
      </c>
      <c r="D43" s="29" t="s">
        <v>124</v>
      </c>
      <c r="E43" s="27" t="s">
        <v>127</v>
      </c>
      <c r="F43" s="29" t="s">
        <v>126</v>
      </c>
      <c r="G43" s="27" t="s">
        <v>127</v>
      </c>
      <c r="H43" s="29" t="s">
        <v>158</v>
      </c>
    </row>
    <row r="44" spans="3:8">
      <c r="C44" s="8" t="s">
        <v>17</v>
      </c>
      <c r="D44" s="69">
        <v>1909839</v>
      </c>
      <c r="E44" s="17">
        <f t="shared" ref="E44:E60" si="6">+D44/$D$61</f>
        <v>0.132283248266649</v>
      </c>
      <c r="F44" s="69">
        <v>1721839</v>
      </c>
      <c r="G44" s="19">
        <f t="shared" ref="G44:G60" si="7">+F44/$D$61</f>
        <v>0.11926160053920704</v>
      </c>
      <c r="H44" s="19">
        <f>+G44-E44</f>
        <v>-1.3021647727441965E-2</v>
      </c>
    </row>
    <row r="45" spans="3:8">
      <c r="C45" s="9" t="s">
        <v>73</v>
      </c>
      <c r="D45" s="96">
        <v>600000</v>
      </c>
      <c r="E45" s="4">
        <f t="shared" si="6"/>
        <v>4.1558450193963675E-2</v>
      </c>
      <c r="F45" s="96">
        <v>0</v>
      </c>
      <c r="G45" s="20">
        <f t="shared" si="7"/>
        <v>0</v>
      </c>
      <c r="H45" s="20">
        <f t="shared" ref="H45:H60" si="8">+G45-E45</f>
        <v>-4.1558450193963675E-2</v>
      </c>
    </row>
    <row r="46" spans="3:8">
      <c r="C46" s="9" t="s">
        <v>98</v>
      </c>
      <c r="D46" s="96">
        <v>955100</v>
      </c>
      <c r="E46" s="4">
        <f t="shared" si="6"/>
        <v>6.6154126300424512E-2</v>
      </c>
      <c r="F46" s="96">
        <v>232000</v>
      </c>
      <c r="G46" s="20">
        <f t="shared" si="7"/>
        <v>1.6069267408332623E-2</v>
      </c>
      <c r="H46" s="20">
        <f t="shared" si="8"/>
        <v>-5.0084858892091889E-2</v>
      </c>
    </row>
    <row r="47" spans="3:8">
      <c r="C47" s="9" t="s">
        <v>25</v>
      </c>
      <c r="D47" s="96">
        <v>1541563</v>
      </c>
      <c r="E47" s="4">
        <f t="shared" si="6"/>
        <v>0.10677494859392871</v>
      </c>
      <c r="F47" s="96">
        <v>95000</v>
      </c>
      <c r="G47" s="20">
        <f t="shared" si="7"/>
        <v>6.5800879473775819E-3</v>
      </c>
      <c r="H47" s="20">
        <f t="shared" si="8"/>
        <v>-0.10019486064655113</v>
      </c>
    </row>
    <row r="48" spans="3:8">
      <c r="C48" s="9" t="s">
        <v>54</v>
      </c>
      <c r="D48" s="96">
        <v>152019</v>
      </c>
      <c r="E48" s="4">
        <f t="shared" si="6"/>
        <v>1.0529456733393608E-2</v>
      </c>
      <c r="F48" s="96">
        <v>152019</v>
      </c>
      <c r="G48" s="20">
        <f t="shared" si="7"/>
        <v>1.0529456733393608E-2</v>
      </c>
      <c r="H48" s="20">
        <f t="shared" si="8"/>
        <v>0</v>
      </c>
    </row>
    <row r="49" spans="3:9">
      <c r="C49" s="9" t="s">
        <v>8</v>
      </c>
      <c r="D49" s="96">
        <v>785574</v>
      </c>
      <c r="E49" s="4">
        <f t="shared" si="6"/>
        <v>5.4412063254454704E-2</v>
      </c>
      <c r="F49" s="96">
        <v>766676.75</v>
      </c>
      <c r="G49" s="20">
        <f t="shared" si="7"/>
        <v>5.3103162549574902E-2</v>
      </c>
      <c r="H49" s="20">
        <f t="shared" si="8"/>
        <v>-1.3089007048798021E-3</v>
      </c>
    </row>
    <row r="50" spans="3:9">
      <c r="C50" s="9" t="s">
        <v>41</v>
      </c>
      <c r="D50" s="96">
        <v>516502</v>
      </c>
      <c r="E50" s="4">
        <f t="shared" si="6"/>
        <v>3.5775037736804377E-2</v>
      </c>
      <c r="F50" s="96">
        <v>122579</v>
      </c>
      <c r="G50" s="20">
        <f t="shared" si="7"/>
        <v>8.4903221105431231E-3</v>
      </c>
      <c r="H50" s="20">
        <f t="shared" si="8"/>
        <v>-2.7284715626261252E-2</v>
      </c>
    </row>
    <row r="51" spans="3:9">
      <c r="C51" s="9" t="s">
        <v>120</v>
      </c>
      <c r="D51" s="96">
        <v>921000</v>
      </c>
      <c r="E51" s="4">
        <f t="shared" si="6"/>
        <v>6.3792221047734243E-2</v>
      </c>
      <c r="F51" s="96">
        <v>90000</v>
      </c>
      <c r="G51" s="20">
        <f t="shared" si="7"/>
        <v>6.2337675290945515E-3</v>
      </c>
      <c r="H51" s="20">
        <f t="shared" si="8"/>
        <v>-5.7558453518639689E-2</v>
      </c>
    </row>
    <row r="52" spans="3:9">
      <c r="C52" s="9" t="s">
        <v>64</v>
      </c>
      <c r="D52" s="96">
        <v>527000</v>
      </c>
      <c r="E52" s="4">
        <f t="shared" si="6"/>
        <v>3.650217208703143E-2</v>
      </c>
      <c r="F52" s="96">
        <v>258994.95</v>
      </c>
      <c r="G52" s="20">
        <f t="shared" si="7"/>
        <v>1.7939047883438523E-2</v>
      </c>
      <c r="H52" s="20">
        <f t="shared" si="8"/>
        <v>-1.8563124203592907E-2</v>
      </c>
    </row>
    <row r="53" spans="3:9">
      <c r="C53" s="9" t="s">
        <v>56</v>
      </c>
      <c r="D53" s="96">
        <v>300000</v>
      </c>
      <c r="E53" s="4">
        <f t="shared" si="6"/>
        <v>2.0779225096981838E-2</v>
      </c>
      <c r="F53" s="96">
        <f>130077.9+140000</f>
        <v>270077.90000000002</v>
      </c>
      <c r="G53" s="20">
        <f t="shared" si="7"/>
        <v>1.8706698259400505E-2</v>
      </c>
      <c r="H53" s="20">
        <f t="shared" si="8"/>
        <v>-2.0725268375813323E-3</v>
      </c>
    </row>
    <row r="54" spans="3:9">
      <c r="C54" s="9" t="s">
        <v>59</v>
      </c>
      <c r="D54" s="96">
        <v>1162422</v>
      </c>
      <c r="E54" s="4">
        <f t="shared" si="6"/>
        <v>8.0514094652279405E-2</v>
      </c>
      <c r="F54" s="96">
        <v>560072.88</v>
      </c>
      <c r="G54" s="20">
        <f t="shared" si="7"/>
        <v>3.8792934814116324E-2</v>
      </c>
      <c r="H54" s="20">
        <f t="shared" si="8"/>
        <v>-4.1721159838163081E-2</v>
      </c>
    </row>
    <row r="55" spans="3:9">
      <c r="C55" s="9" t="s">
        <v>28</v>
      </c>
      <c r="D55" s="96">
        <v>693792</v>
      </c>
      <c r="E55" s="4">
        <f t="shared" si="6"/>
        <v>4.8054867128284079E-2</v>
      </c>
      <c r="F55" s="96">
        <v>553289.05000000005</v>
      </c>
      <c r="G55" s="20">
        <f t="shared" si="7"/>
        <v>3.8323059045484137E-2</v>
      </c>
      <c r="H55" s="20">
        <f t="shared" si="8"/>
        <v>-9.731808082799942E-3</v>
      </c>
    </row>
    <row r="56" spans="3:9">
      <c r="C56" s="9" t="s">
        <v>51</v>
      </c>
      <c r="D56" s="96">
        <v>827990</v>
      </c>
      <c r="E56" s="4">
        <f t="shared" si="6"/>
        <v>5.7349968626833309E-2</v>
      </c>
      <c r="F56" s="96">
        <v>72360</v>
      </c>
      <c r="G56" s="20">
        <f t="shared" si="7"/>
        <v>5.0119490933920197E-3</v>
      </c>
      <c r="H56" s="20">
        <f t="shared" si="8"/>
        <v>-5.2338019533441291E-2</v>
      </c>
    </row>
    <row r="57" spans="3:9">
      <c r="C57" s="9" t="s">
        <v>45</v>
      </c>
      <c r="D57" s="96">
        <v>440574</v>
      </c>
      <c r="E57" s="4">
        <f t="shared" si="6"/>
        <v>3.0515954392925589E-2</v>
      </c>
      <c r="F57" s="96">
        <v>0</v>
      </c>
      <c r="G57" s="20">
        <f t="shared" si="7"/>
        <v>0</v>
      </c>
      <c r="H57" s="20">
        <f t="shared" si="8"/>
        <v>-3.0515954392925589E-2</v>
      </c>
    </row>
    <row r="58" spans="3:9">
      <c r="C58" s="9" t="s">
        <v>123</v>
      </c>
      <c r="D58" s="96">
        <v>317814</v>
      </c>
      <c r="E58" s="4">
        <f t="shared" si="6"/>
        <v>2.2013095483240621E-2</v>
      </c>
      <c r="F58" s="96">
        <v>244858</v>
      </c>
      <c r="G58" s="20">
        <f t="shared" si="7"/>
        <v>1.6959864995989265E-2</v>
      </c>
      <c r="H58" s="20">
        <f t="shared" si="8"/>
        <v>-5.0532304872513562E-3</v>
      </c>
    </row>
    <row r="59" spans="3:9">
      <c r="C59" s="9" t="s">
        <v>30</v>
      </c>
      <c r="D59" s="96">
        <v>2636308</v>
      </c>
      <c r="E59" s="4">
        <f t="shared" si="6"/>
        <v>0.18260145785658</v>
      </c>
      <c r="F59" s="96">
        <v>1386308</v>
      </c>
      <c r="G59" s="20">
        <f t="shared" si="7"/>
        <v>9.6021353285822328E-2</v>
      </c>
      <c r="H59" s="20">
        <f t="shared" si="8"/>
        <v>-8.6580104570757668E-2</v>
      </c>
    </row>
    <row r="60" spans="3:9" ht="13.5" thickBot="1">
      <c r="C60" s="57" t="s">
        <v>32</v>
      </c>
      <c r="D60" s="97">
        <v>150000</v>
      </c>
      <c r="E60" s="18">
        <f t="shared" si="6"/>
        <v>1.0389612548490919E-2</v>
      </c>
      <c r="F60" s="97">
        <v>127745</v>
      </c>
      <c r="G60" s="21">
        <f t="shared" si="7"/>
        <v>8.8481403667131503E-3</v>
      </c>
      <c r="H60" s="21">
        <f t="shared" si="8"/>
        <v>-1.5414721817777685E-3</v>
      </c>
    </row>
    <row r="61" spans="3:9" ht="13.5" thickBot="1">
      <c r="D61" s="76">
        <f>SUM(D44:D60)</f>
        <v>14437497</v>
      </c>
      <c r="E61" s="98">
        <f>SUM(E44:E60)</f>
        <v>0.99999999999999989</v>
      </c>
      <c r="F61" s="76">
        <f>SUM(F44:F60)</f>
        <v>6653819.5300000003</v>
      </c>
      <c r="G61" s="24">
        <f>SUM(G44:G60)</f>
        <v>0.46087071256187973</v>
      </c>
      <c r="H61" s="24"/>
    </row>
    <row r="62" spans="3:9">
      <c r="D62" s="16"/>
    </row>
    <row r="63" spans="3:9" ht="13.5" thickBot="1"/>
    <row r="64" spans="3:9" ht="13.5" thickBot="1">
      <c r="C64" s="59" t="s">
        <v>128</v>
      </c>
      <c r="D64" s="36" t="s">
        <v>107</v>
      </c>
      <c r="E64" s="43" t="s">
        <v>129</v>
      </c>
      <c r="F64" s="43" t="s">
        <v>108</v>
      </c>
      <c r="G64" s="43" t="s">
        <v>109</v>
      </c>
      <c r="H64" s="36" t="s">
        <v>110</v>
      </c>
      <c r="I64" s="29" t="s">
        <v>105</v>
      </c>
    </row>
    <row r="65" spans="3:9">
      <c r="C65" s="8" t="s">
        <v>20</v>
      </c>
      <c r="D65" s="64">
        <f>+'By Project Catgory'!K16</f>
        <v>86759</v>
      </c>
      <c r="E65" s="64"/>
      <c r="F65" s="101"/>
      <c r="G65" s="64"/>
      <c r="H65" s="64"/>
      <c r="I65" s="67">
        <f t="shared" ref="I65:I72" si="9">SUM(D65:H65)</f>
        <v>86759</v>
      </c>
    </row>
    <row r="66" spans="3:9">
      <c r="C66" s="9" t="s">
        <v>7</v>
      </c>
      <c r="D66" s="65">
        <f>225000+582408+98000+246405+127745</f>
        <v>1279558</v>
      </c>
      <c r="E66" s="65">
        <v>549367</v>
      </c>
      <c r="F66" s="102">
        <v>0</v>
      </c>
      <c r="G66" s="65">
        <v>0</v>
      </c>
      <c r="H66" s="65">
        <v>960000</v>
      </c>
      <c r="I66" s="68">
        <f t="shared" si="9"/>
        <v>2788925</v>
      </c>
    </row>
    <row r="67" spans="3:9">
      <c r="C67" s="9" t="s">
        <v>21</v>
      </c>
      <c r="D67" s="65">
        <v>31830</v>
      </c>
      <c r="E67" s="65"/>
      <c r="F67" s="102"/>
      <c r="G67" s="65"/>
      <c r="H67" s="65">
        <v>94805</v>
      </c>
      <c r="I67" s="68">
        <f t="shared" si="9"/>
        <v>126635</v>
      </c>
    </row>
    <row r="68" spans="3:9">
      <c r="C68" s="9" t="s">
        <v>22</v>
      </c>
      <c r="D68" s="65"/>
      <c r="E68" s="99">
        <v>35820</v>
      </c>
      <c r="F68" s="103"/>
      <c r="G68" s="99">
        <v>90000</v>
      </c>
      <c r="H68" s="99">
        <v>0</v>
      </c>
      <c r="I68" s="68">
        <f t="shared" si="9"/>
        <v>125820</v>
      </c>
    </row>
    <row r="69" spans="3:9">
      <c r="C69" s="9" t="s">
        <v>23</v>
      </c>
      <c r="D69" s="65">
        <f>337787+156820+152019</f>
        <v>646626</v>
      </c>
      <c r="E69" s="99"/>
      <c r="F69" s="103">
        <v>140000</v>
      </c>
      <c r="G69" s="99"/>
      <c r="H69" s="99">
        <v>52590</v>
      </c>
      <c r="I69" s="68">
        <f t="shared" si="9"/>
        <v>839216</v>
      </c>
    </row>
    <row r="70" spans="3:9">
      <c r="C70" s="9" t="s">
        <v>5</v>
      </c>
      <c r="D70" s="65">
        <f>258994+180167+244858+358707.88</f>
        <v>1042726.88</v>
      </c>
      <c r="E70" s="99">
        <v>217309.75</v>
      </c>
      <c r="F70" s="103">
        <v>50077.9</v>
      </c>
      <c r="G70" s="99"/>
      <c r="H70" s="99">
        <v>278913</v>
      </c>
      <c r="I70" s="68">
        <f t="shared" si="9"/>
        <v>1589027.5299999998</v>
      </c>
    </row>
    <row r="71" spans="3:9">
      <c r="C71" s="9" t="s">
        <v>11</v>
      </c>
      <c r="D71" s="65">
        <f>238324+94887</f>
        <v>333211</v>
      </c>
      <c r="E71" s="99">
        <v>0</v>
      </c>
      <c r="F71" s="103">
        <v>80000</v>
      </c>
      <c r="G71" s="99"/>
      <c r="H71" s="99">
        <v>72360</v>
      </c>
      <c r="I71" s="68">
        <f t="shared" si="9"/>
        <v>485571</v>
      </c>
    </row>
    <row r="72" spans="3:9" ht="13.5" thickBot="1">
      <c r="C72" s="45" t="s">
        <v>79</v>
      </c>
      <c r="D72" s="65">
        <f>181500+232000+202002</f>
        <v>615502</v>
      </c>
      <c r="E72" s="100"/>
      <c r="F72" s="104"/>
      <c r="G72" s="100"/>
      <c r="H72" s="100">
        <v>0</v>
      </c>
      <c r="I72" s="68">
        <f t="shared" si="9"/>
        <v>615502</v>
      </c>
    </row>
    <row r="73" spans="3:9">
      <c r="D73" s="114">
        <f t="shared" ref="D73:I73" si="10">SUM(D65:D72)</f>
        <v>4036212.88</v>
      </c>
      <c r="E73" s="70">
        <f t="shared" si="10"/>
        <v>802496.75</v>
      </c>
      <c r="F73" s="114">
        <f t="shared" si="10"/>
        <v>270077.90000000002</v>
      </c>
      <c r="G73" s="70">
        <f t="shared" si="10"/>
        <v>90000</v>
      </c>
      <c r="H73" s="114">
        <f t="shared" si="10"/>
        <v>1458668</v>
      </c>
      <c r="I73" s="66">
        <f t="shared" si="10"/>
        <v>6657455.5299999993</v>
      </c>
    </row>
    <row r="74" spans="3:9" ht="13.5" thickBot="1">
      <c r="D74" s="115">
        <f>+D73/$I$73</f>
        <v>0.6062695968169689</v>
      </c>
      <c r="E74" s="71">
        <f>+E73/$I$73</f>
        <v>0.12054106052736939</v>
      </c>
      <c r="F74" s="115">
        <f>+F73/$I$73</f>
        <v>4.0567736244420706E-2</v>
      </c>
      <c r="G74" s="71">
        <f>+G73/$I$73</f>
        <v>1.3518678359087741E-2</v>
      </c>
      <c r="H74" s="115">
        <f>+H73/$I$73</f>
        <v>0.21910292805215331</v>
      </c>
      <c r="I74" s="72">
        <f>+I73/I73</f>
        <v>1</v>
      </c>
    </row>
    <row r="75" spans="3:9">
      <c r="D75" s="107" t="s">
        <v>111</v>
      </c>
      <c r="I75" s="16">
        <f>+I73-'By Project Catgory'!L12</f>
        <v>3635.9999999990687</v>
      </c>
    </row>
    <row r="76" spans="3:9" ht="34" customHeight="1">
      <c r="D76" s="169" t="s">
        <v>159</v>
      </c>
      <c r="E76" s="170"/>
      <c r="F76" s="170"/>
      <c r="G76" s="171"/>
      <c r="H76" s="106"/>
      <c r="I76" s="106"/>
    </row>
    <row r="77" spans="3:9" ht="13.5" thickBot="1"/>
    <row r="78" spans="3:9" ht="24" customHeight="1" thickBot="1">
      <c r="C78" s="58" t="s">
        <v>130</v>
      </c>
      <c r="D78" s="29" t="s">
        <v>113</v>
      </c>
      <c r="E78" s="29" t="s">
        <v>125</v>
      </c>
      <c r="F78" s="29" t="s">
        <v>147</v>
      </c>
    </row>
    <row r="79" spans="3:9">
      <c r="C79" s="40" t="s">
        <v>114</v>
      </c>
      <c r="D79" s="65">
        <v>0</v>
      </c>
      <c r="E79" s="65">
        <v>440574</v>
      </c>
      <c r="F79" s="74">
        <f>+D79/$I$73</f>
        <v>0</v>
      </c>
    </row>
    <row r="80" spans="3:9">
      <c r="C80" s="41" t="s">
        <v>115</v>
      </c>
      <c r="D80" s="65">
        <f>295002+492703+374717</f>
        <v>1162422</v>
      </c>
      <c r="E80" s="65">
        <v>560072.88</v>
      </c>
      <c r="F80" s="73">
        <f>+D80/$I$73</f>
        <v>0.17460454595030545</v>
      </c>
    </row>
    <row r="81" spans="3:6">
      <c r="C81" s="41" t="s">
        <v>112</v>
      </c>
      <c r="D81" s="65">
        <v>150000</v>
      </c>
      <c r="E81" s="65">
        <v>127745</v>
      </c>
      <c r="F81" s="73">
        <f>+D81/$I$73</f>
        <v>2.2531130598479568E-2</v>
      </c>
    </row>
    <row r="82" spans="3:6" ht="13.5" thickBot="1">
      <c r="C82" s="42" t="s">
        <v>37</v>
      </c>
      <c r="D82" s="65">
        <v>1163625</v>
      </c>
      <c r="E82" s="65">
        <v>950166.05</v>
      </c>
      <c r="F82" s="75">
        <f>+D82/$I$73</f>
        <v>0.17478524561770525</v>
      </c>
    </row>
    <row r="83" spans="3:6" ht="13.5" thickBot="1">
      <c r="D83" s="76">
        <f>SUM(D79:D82)</f>
        <v>2476047</v>
      </c>
      <c r="E83" s="76">
        <f>SUM(E79:E82)</f>
        <v>2078557.93</v>
      </c>
      <c r="F83" s="24">
        <f>SUM(F79:F82)</f>
        <v>0.37192092216649025</v>
      </c>
    </row>
  </sheetData>
  <sheetProtection algorithmName="SHA-512" hashValue="N5dtfP2KZnK9VY4L9ZLWeso5VYpOjJcF2+0EpQq4S7VJeptbxhF65gwmn1HRAHN3V6+8jTAba9dFN1Vc/Xu4fQ==" saltValue="/V+dgpI0Y/pIJCGiht7Dag==" spinCount="100000" sheet="1" objects="1" scenarios="1"/>
  <sortState xmlns:xlrd2="http://schemas.microsoft.com/office/spreadsheetml/2017/richdata2" ref="C44:G60">
    <sortCondition ref="C44:C60"/>
  </sortState>
  <mergeCells count="5">
    <mergeCell ref="A1:C1"/>
    <mergeCell ref="D4:H4"/>
    <mergeCell ref="D76:G76"/>
    <mergeCell ref="E15:I15"/>
    <mergeCell ref="D40:H40"/>
  </mergeCells>
  <phoneticPr fontId="4" type="noConversion"/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Project Catgory</vt:lpstr>
      <vt:lpstr>SubPop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tPierce</dc:creator>
  <cp:lastModifiedBy>Andrew Akufo</cp:lastModifiedBy>
  <cp:lastPrinted>2023-07-10T18:28:44Z</cp:lastPrinted>
  <dcterms:created xsi:type="dcterms:W3CDTF">2023-04-06T15:20:31Z</dcterms:created>
  <dcterms:modified xsi:type="dcterms:W3CDTF">2023-07-10T18:28:49Z</dcterms:modified>
</cp:coreProperties>
</file>